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ityofcardiffcouncil-my.sharepoint.com/personal/rhian_harron_cardiff_gov_uk/Documents/Documents/WEB TEAM/Electric Bus Grant/"/>
    </mc:Choice>
  </mc:AlternateContent>
  <xr:revisionPtr revIDLastSave="0" documentId="8_{60508FDF-8E51-46F9-B2F2-0BDAB2A484D8}" xr6:coauthVersionLast="47" xr6:coauthVersionMax="47" xr10:uidLastSave="{00000000-0000-0000-0000-000000000000}"/>
  <bookViews>
    <workbookView xWindow="-110" yWindow="-110" windowWidth="19420" windowHeight="10420" xr2:uid="{35045912-67A0-47D0-97BE-7B9E7B5D7637}"/>
  </bookViews>
  <sheets>
    <sheet name="Proforma" sheetId="5" r:id="rId1"/>
    <sheet name="Example1" sheetId="7" r:id="rId2"/>
    <sheet name="Example2" sheetId="8" r:id="rId3"/>
    <sheet name="Example3"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9" l="1"/>
  <c r="F19" i="9" s="1"/>
  <c r="M9" i="9"/>
  <c r="H9" i="9"/>
  <c r="I9" i="9" s="1"/>
  <c r="F101" i="8"/>
  <c r="M10" i="9"/>
  <c r="H10" i="9"/>
  <c r="I10" i="9" s="1"/>
  <c r="M8" i="9"/>
  <c r="H8" i="9"/>
  <c r="I8" i="9" s="1"/>
  <c r="H107" i="8"/>
  <c r="I107" i="8" s="1"/>
  <c r="H106" i="8"/>
  <c r="N9" i="9" l="1"/>
  <c r="I11" i="9"/>
  <c r="N10" i="9"/>
  <c r="O10" i="9" s="1"/>
  <c r="N8" i="9"/>
  <c r="O8" i="9" s="1"/>
  <c r="M11" i="9"/>
  <c r="M107" i="8"/>
  <c r="M106" i="8"/>
  <c r="I106" i="8"/>
  <c r="I108" i="8" s="1"/>
  <c r="E79" i="8"/>
  <c r="E89" i="8" s="1"/>
  <c r="D79" i="8"/>
  <c r="D89" i="8" s="1"/>
  <c r="C79" i="8"/>
  <c r="C89" i="8" s="1"/>
  <c r="E62" i="8"/>
  <c r="E69" i="8" s="1"/>
  <c r="E88" i="8" s="1"/>
  <c r="D62" i="8"/>
  <c r="D69" i="8" s="1"/>
  <c r="D88" i="8" s="1"/>
  <c r="C62" i="8"/>
  <c r="C69" i="8" s="1"/>
  <c r="C88" i="8" s="1"/>
  <c r="E54" i="8"/>
  <c r="E87" i="8" s="1"/>
  <c r="D54" i="8"/>
  <c r="D87" i="8" s="1"/>
  <c r="C54" i="8"/>
  <c r="C87" i="8" s="1"/>
  <c r="E41" i="8"/>
  <c r="D41" i="8"/>
  <c r="C41" i="8"/>
  <c r="E34" i="8"/>
  <c r="D34" i="8"/>
  <c r="C34" i="8"/>
  <c r="E25" i="8"/>
  <c r="D25" i="8"/>
  <c r="C25" i="8"/>
  <c r="E10" i="8"/>
  <c r="D10" i="8"/>
  <c r="C10" i="8"/>
  <c r="J166" i="5"/>
  <c r="I166" i="5"/>
  <c r="H166" i="5"/>
  <c r="C34" i="7"/>
  <c r="D34" i="7"/>
  <c r="E34" i="7"/>
  <c r="E62" i="7"/>
  <c r="E69" i="7" s="1"/>
  <c r="E88" i="7" s="1"/>
  <c r="D62" i="7"/>
  <c r="D69" i="7" s="1"/>
  <c r="D88" i="7" s="1"/>
  <c r="C62" i="7"/>
  <c r="C69" i="7" s="1"/>
  <c r="C88" i="7" s="1"/>
  <c r="E10" i="7"/>
  <c r="D10" i="7"/>
  <c r="C10" i="7"/>
  <c r="D79" i="7"/>
  <c r="D89" i="7" s="1"/>
  <c r="C79" i="7"/>
  <c r="C89" i="7" s="1"/>
  <c r="E79" i="7"/>
  <c r="E89" i="7" s="1"/>
  <c r="E54" i="7"/>
  <c r="E87" i="7" s="1"/>
  <c r="D54" i="7"/>
  <c r="D87" i="7" s="1"/>
  <c r="C54" i="7"/>
  <c r="C87" i="7" s="1"/>
  <c r="E41" i="7"/>
  <c r="D41" i="7"/>
  <c r="C41" i="7"/>
  <c r="E25" i="7"/>
  <c r="D25" i="7"/>
  <c r="C25" i="7"/>
  <c r="C67" i="5"/>
  <c r="C83" i="5" s="1"/>
  <c r="O105" i="5"/>
  <c r="J105" i="5"/>
  <c r="K105" i="5" s="1"/>
  <c r="O104" i="5"/>
  <c r="J104" i="5"/>
  <c r="K104" i="5" s="1"/>
  <c r="O103" i="5"/>
  <c r="J103" i="5"/>
  <c r="K103" i="5" s="1"/>
  <c r="O102" i="5"/>
  <c r="J102" i="5"/>
  <c r="K102" i="5" s="1"/>
  <c r="O101" i="5"/>
  <c r="J101" i="5"/>
  <c r="K101" i="5" s="1"/>
  <c r="C59" i="5"/>
  <c r="C86" i="5" s="1"/>
  <c r="E58" i="5"/>
  <c r="E57" i="5"/>
  <c r="E56" i="5"/>
  <c r="E55" i="5"/>
  <c r="E54" i="5"/>
  <c r="E53" i="5"/>
  <c r="N85" i="5"/>
  <c r="M85" i="5"/>
  <c r="J59" i="5"/>
  <c r="N86" i="5" s="1"/>
  <c r="I59" i="5"/>
  <c r="M86" i="5" s="1"/>
  <c r="H59" i="5"/>
  <c r="L86" i="5" s="1"/>
  <c r="L85" i="5"/>
  <c r="N78" i="5"/>
  <c r="J96" i="5"/>
  <c r="K96" i="5" s="1"/>
  <c r="I78" i="5"/>
  <c r="C84" i="5" s="1"/>
  <c r="L54" i="5"/>
  <c r="M54" i="5"/>
  <c r="N54" i="5"/>
  <c r="L55" i="5"/>
  <c r="M55" i="5"/>
  <c r="N55" i="5"/>
  <c r="L56" i="5"/>
  <c r="M56" i="5"/>
  <c r="N56" i="5"/>
  <c r="L57" i="5"/>
  <c r="M57" i="5"/>
  <c r="N57" i="5"/>
  <c r="L58" i="5"/>
  <c r="M58" i="5"/>
  <c r="N58" i="5"/>
  <c r="M53" i="5"/>
  <c r="N53" i="5"/>
  <c r="L53" i="5"/>
  <c r="O100" i="5"/>
  <c r="O99" i="5"/>
  <c r="O98" i="5"/>
  <c r="O97" i="5"/>
  <c r="O96" i="5"/>
  <c r="J100" i="5"/>
  <c r="K100" i="5" s="1"/>
  <c r="J99" i="5"/>
  <c r="K99" i="5" s="1"/>
  <c r="J98" i="5"/>
  <c r="K98" i="5" s="1"/>
  <c r="J97" i="5"/>
  <c r="K97" i="5" s="1"/>
  <c r="O9" i="9" l="1"/>
  <c r="M108" i="8"/>
  <c r="C43" i="8"/>
  <c r="N106" i="8"/>
  <c r="N107" i="8"/>
  <c r="D43" i="8"/>
  <c r="C26" i="8"/>
  <c r="C86" i="8" s="1"/>
  <c r="C90" i="8" s="1"/>
  <c r="E43" i="8"/>
  <c r="B43" i="8"/>
  <c r="D44" i="8" s="1"/>
  <c r="D91" i="8" s="1"/>
  <c r="D26" i="8"/>
  <c r="D86" i="8" s="1"/>
  <c r="D90" i="8" s="1"/>
  <c r="E26" i="8"/>
  <c r="E86" i="8" s="1"/>
  <c r="E90" i="8" s="1"/>
  <c r="E43" i="7"/>
  <c r="C43" i="7"/>
  <c r="D43" i="7"/>
  <c r="D26" i="7"/>
  <c r="D86" i="7" s="1"/>
  <c r="D90" i="7" s="1"/>
  <c r="E26" i="7"/>
  <c r="E86" i="7" s="1"/>
  <c r="E90" i="7" s="1"/>
  <c r="C26" i="7"/>
  <c r="C86" i="7" s="1"/>
  <c r="C90" i="7" s="1"/>
  <c r="C87" i="5"/>
  <c r="N87" i="5"/>
  <c r="L87" i="5"/>
  <c r="M87" i="5"/>
  <c r="C85" i="5"/>
  <c r="E59" i="5"/>
  <c r="N59" i="5"/>
  <c r="M59" i="5"/>
  <c r="L59" i="5"/>
  <c r="O107" i="8" l="1"/>
  <c r="O106" i="8"/>
  <c r="E44" i="8"/>
  <c r="E91" i="8" s="1"/>
  <c r="E92" i="8" s="1"/>
  <c r="C44" i="8"/>
  <c r="C91" i="8" s="1"/>
  <c r="C92" i="8" s="1"/>
  <c r="D92" i="8"/>
  <c r="B43" i="7"/>
  <c r="D44" i="7" s="1"/>
  <c r="O87" i="5"/>
  <c r="N88" i="5" s="1"/>
  <c r="L60" i="5"/>
  <c r="M60" i="5"/>
  <c r="N60" i="5"/>
  <c r="E93" i="8" l="1"/>
  <c r="E96" i="8" s="1"/>
  <c r="C93" i="8"/>
  <c r="D93" i="8"/>
  <c r="E44" i="7"/>
  <c r="E91" i="7" s="1"/>
  <c r="E92" i="7" s="1"/>
  <c r="C44" i="7"/>
  <c r="C91" i="7" s="1"/>
  <c r="C92" i="7" s="1"/>
  <c r="D91" i="7"/>
  <c r="D92" i="7" s="1"/>
  <c r="L88" i="5"/>
  <c r="M88" i="5"/>
  <c r="D96" i="8" l="1"/>
  <c r="C96" i="8"/>
  <c r="C93" i="7"/>
  <c r="D93" i="7"/>
  <c r="D96" i="7" s="1"/>
  <c r="E93" i="7"/>
  <c r="F96" i="8" l="1"/>
  <c r="F97" i="8" s="1"/>
  <c r="D98" i="8" s="1"/>
  <c r="E96" i="7"/>
  <c r="C96" i="7"/>
  <c r="C98" i="8" l="1"/>
  <c r="E98" i="8"/>
  <c r="F96" i="7"/>
  <c r="F97" i="7" s="1"/>
  <c r="F98" i="8" l="1"/>
  <c r="F99" i="8" s="1"/>
  <c r="D98" i="7"/>
  <c r="E98" i="7"/>
  <c r="C98" i="7"/>
  <c r="E100" i="8" l="1"/>
  <c r="D100" i="8"/>
  <c r="C100" i="8"/>
  <c r="F98" i="7"/>
  <c r="F99" i="7" s="1"/>
  <c r="F100" i="8" l="1"/>
  <c r="D100" i="7"/>
  <c r="C100" i="7"/>
  <c r="E100" i="7"/>
  <c r="F100" i="7" l="1"/>
  <c r="F101" i="7" s="1"/>
</calcChain>
</file>

<file path=xl/sharedStrings.xml><?xml version="1.0" encoding="utf-8"?>
<sst xmlns="http://schemas.openxmlformats.org/spreadsheetml/2006/main" count="444" uniqueCount="197">
  <si>
    <t>Bus Operator</t>
  </si>
  <si>
    <t>A</t>
  </si>
  <si>
    <t>B</t>
  </si>
  <si>
    <t>C</t>
  </si>
  <si>
    <t>D</t>
  </si>
  <si>
    <t>Euro I</t>
  </si>
  <si>
    <t>Euro II</t>
  </si>
  <si>
    <t>Euro III</t>
  </si>
  <si>
    <t>Euro IV</t>
  </si>
  <si>
    <t>Euro V</t>
  </si>
  <si>
    <t>Euro VI</t>
  </si>
  <si>
    <t>Qualifying Criteria</t>
  </si>
  <si>
    <t>Total Annual Mileage in Cardiff (km)</t>
  </si>
  <si>
    <t>Gross Cost per Electric Bus Vehicle (excluding VAT)</t>
  </si>
  <si>
    <t>Total Number of Bus Services Per Year</t>
  </si>
  <si>
    <t>Total Gross cost of Electric Buses (excluding VAT)</t>
  </si>
  <si>
    <t>Route Description</t>
  </si>
  <si>
    <t>Bus Route Reference Number</t>
  </si>
  <si>
    <t>a) Mileage of total fleet - not including existing Electric Bus Vehicles (kms)</t>
  </si>
  <si>
    <t>b) Mileage of fleet in Cardiff that would be new Electric Bus Vehicles (km)</t>
  </si>
  <si>
    <t>d) Maximum proportional contribution to infrastructure = c x (b/a)</t>
  </si>
  <si>
    <t>c) Total Infrastructure cost - excluding VAT (£)</t>
  </si>
  <si>
    <t>a) Route service information that the electric buses have been used on.</t>
  </si>
  <si>
    <t>Qualifying Criteria 1</t>
  </si>
  <si>
    <t>Qualifying Criteria 2</t>
  </si>
  <si>
    <t>b) Route mileage information for the each of the routes that the electric buses have been used on.</t>
  </si>
  <si>
    <t>Financial Criteria (70% of Score)</t>
  </si>
  <si>
    <t>Please explain how the training of staff would be achieved:</t>
  </si>
  <si>
    <t>What experience do you have of operating electric buses? Please answer either A, B or C with an X in the box.</t>
  </si>
  <si>
    <t>Please explain the circumstances and where the expertise would come from:</t>
  </si>
  <si>
    <t>Please explain what expertise you would obtain including references to specific providers of services:</t>
  </si>
  <si>
    <t>Please provide supporting evidence in writing from the energy supplier</t>
  </si>
  <si>
    <t>When would the energy supplier be switched to a sustainable/green source?</t>
  </si>
  <si>
    <t>Insert date</t>
  </si>
  <si>
    <t>Please provide any other relevant comments you may have to qualify your answer above.</t>
  </si>
  <si>
    <t>Number of New Electric Buses in the Fleet required for the bus route</t>
  </si>
  <si>
    <t>Number of Existing Buses in the Fleet required for the bus route</t>
  </si>
  <si>
    <t>Contact Name</t>
  </si>
  <si>
    <t>Postal Address</t>
  </si>
  <si>
    <t>Email address</t>
  </si>
  <si>
    <t>Phone Number</t>
  </si>
  <si>
    <t>Date Submitted</t>
  </si>
  <si>
    <t>Grant Bidder Details</t>
  </si>
  <si>
    <t>Bids for retrofitting vehicles will not be accepted.</t>
  </si>
  <si>
    <t>Bids that include leasing options will not be accepted.</t>
  </si>
  <si>
    <t>Notes for Bidders:</t>
  </si>
  <si>
    <t xml:space="preserve">Bidders are advised to engage early with their parent company and/or board to ensure they get endorsement. </t>
  </si>
  <si>
    <t>The Council reserves the right to:</t>
  </si>
  <si>
    <t>(i) not to award all, part or any of the monies by way of grant or other means;</t>
  </si>
  <si>
    <t>(iii) to amend, add to or withdraw all or any part of the documentation that it may issue in respect of this process at any stage.</t>
  </si>
  <si>
    <t>(ii) to abandon, halt or postpone the process at any stage; and</t>
  </si>
  <si>
    <t>Electric Charging Infrastructure Cost - match funding</t>
  </si>
  <si>
    <t>Rank</t>
  </si>
  <si>
    <t>Points =</t>
  </si>
  <si>
    <t>c) The absolute total mileage travelled by each electric bus in the fleet.</t>
  </si>
  <si>
    <t>d) Financial information including invoices and receipts for audit purposes in relation to the grant.</t>
  </si>
  <si>
    <t>What are the bus route numbers that would pass through the Air Quality Management Area/s?</t>
  </si>
  <si>
    <t>It is recognised that charging infrastructure may serve the whole depot rather than just the buses operating in Cardiff. Therefore, the information you enter into the table on the right will be used to consider match funding of infrastructure contributions if value can be demonstrated.  Greatest value is placed on the objective of maximising increased use of electric buses in Cardiff.</t>
  </si>
  <si>
    <t>Engine Type Replaced</t>
  </si>
  <si>
    <t>Score</t>
  </si>
  <si>
    <t>Total Score =</t>
  </si>
  <si>
    <t>Max Points =</t>
  </si>
  <si>
    <t>Example Assessment of Grant Bid Submissions (route mileage by engine type)</t>
  </si>
  <si>
    <t>Operator A</t>
  </si>
  <si>
    <t>Operator B</t>
  </si>
  <si>
    <t>Operator C</t>
  </si>
  <si>
    <t>Cost per km/annum</t>
  </si>
  <si>
    <t>Total Mileage (km/annum)</t>
  </si>
  <si>
    <t>Cost per km per annum =</t>
  </si>
  <si>
    <t>Total Mileage by Engine Type Replaced (km/annum)</t>
  </si>
  <si>
    <t>Example Assessment of Grant Bid Submissions (Cost per km/annum)</t>
  </si>
  <si>
    <t>Mileage (km/annum)</t>
  </si>
  <si>
    <t>Quality Criteria 1: Mileage by Engine Type (10% of Score)</t>
  </si>
  <si>
    <t>Scores</t>
  </si>
  <si>
    <t>Quality Criteria 1 Points =</t>
  </si>
  <si>
    <t xml:space="preserve">Total Mileage (km/annum) = </t>
  </si>
  <si>
    <t>Total =</t>
  </si>
  <si>
    <t>Example Assessment of Grant Bid Submissions (Proportional Infrastructure Cost)</t>
  </si>
  <si>
    <t>Min</t>
  </si>
  <si>
    <t>Quality Criteria 2:  Experience of Operating Electric Buses (10% of Score)</t>
  </si>
  <si>
    <t>Quality Criteria 3:  Sustainable Energy Supply (6% of Score)</t>
  </si>
  <si>
    <t>Quality Criteria 4:  Air Quality (4% of Score)</t>
  </si>
  <si>
    <t>Evidence provided? (Y/N)</t>
  </si>
  <si>
    <t>Number of Scheduled Bus Services per Weekday 
(253 days/year)</t>
  </si>
  <si>
    <t>Number of Scheduled Bus Services per Saturday 
(52 days/year)</t>
  </si>
  <si>
    <t>Number of Scheduled Bus Services per Sunday 
(52 days/year)</t>
  </si>
  <si>
    <t>Number of Scheduled Bus Services per Bank Holiday 
(8 days/year)</t>
  </si>
  <si>
    <t>Match funding from bus operator</t>
  </si>
  <si>
    <t>Maximum Points</t>
  </si>
  <si>
    <t>Total Score</t>
  </si>
  <si>
    <t>Points out of 10</t>
  </si>
  <si>
    <t>Net Grant Funding Required for Electric Buses (excluding VAT)</t>
  </si>
  <si>
    <t>Proportional Grant Funding for Infrastructure (excluding VAT)</t>
  </si>
  <si>
    <t>Total Grant Funding Required for Electric Buses and Infrastructure</t>
  </si>
  <si>
    <t>Points out of 70</t>
  </si>
  <si>
    <t>Grant Funding per km per annum</t>
  </si>
  <si>
    <t>Response</t>
  </si>
  <si>
    <t>Do you have sustainable/green energy supply to charge the electric bus vehicles? Please answer either A, B or C with an X in the box.</t>
  </si>
  <si>
    <t>How many times per year would an electric bus pass through an Air Quality Management Area?</t>
  </si>
  <si>
    <t>Points out of 4</t>
  </si>
  <si>
    <t>Total Aggregate Points</t>
  </si>
  <si>
    <t>Total Financial Score (out of 70%)</t>
  </si>
  <si>
    <t>Total Quality Score (out of 30%)</t>
  </si>
  <si>
    <t>Grant Available</t>
  </si>
  <si>
    <t>Grant Award to 1st Ranked</t>
  </si>
  <si>
    <t>Grant Award to 2nd Ranked</t>
  </si>
  <si>
    <t>Remaining Grant after 1st Ranked Operator Awarded</t>
  </si>
  <si>
    <t>Remaining Grant after 2nd Ranked Operator Awarded</t>
  </si>
  <si>
    <t>Grant Award to 3rd Ranked</t>
  </si>
  <si>
    <t>Remaining Grant Not Awarded</t>
  </si>
  <si>
    <t>a) Mileage of total bus operator fleet - not including existing Electric Bus Vehicles (kms)</t>
  </si>
  <si>
    <t>Total Points</t>
  </si>
  <si>
    <t>1. Evidence of deliverability and commitment to spend by Oct 2023? (Y/N)</t>
  </si>
  <si>
    <t>2. Commitment to produce monitoring of delivery and outcomes (Y/N)</t>
  </si>
  <si>
    <t>Y</t>
  </si>
  <si>
    <t>Supporting information provided - quotes and delivery timescales from suppliers and contractors (Y/N)</t>
  </si>
  <si>
    <t>Experience of operating EV Buses or evidence of how expertise, training would be obtained.</t>
  </si>
  <si>
    <t>A)  Currently operating and maintaining electric buses with scope to expand (10/10 points)</t>
  </si>
  <si>
    <t xml:space="preserve"> A) Yes, the energy supplier is sustainable/green (6/6 points)</t>
  </si>
  <si>
    <t xml:space="preserve"> B) No, but the energy supplier will be made sustainable/green (4/6 points)</t>
  </si>
  <si>
    <t xml:space="preserve"> C) No and there are no plans to switch to an energy supplier that is sustainable/green (0 points)</t>
  </si>
  <si>
    <t>Please provide relevant supporting information on the scope of what you are currently operating and maintaining:</t>
  </si>
  <si>
    <t>Supporting evidence in writing from the energy supplier (Y/N)</t>
  </si>
  <si>
    <t>Air Quality (4 points maximum)</t>
  </si>
  <si>
    <t>Example Assessment of Grant Bid Submissions (Air Quality)</t>
  </si>
  <si>
    <t>The award of any grant funding is only intended to replace existing vehicles on the network with electric buses, not increase the number of buses.</t>
  </si>
  <si>
    <t>The award of any grant funding after the relevant process is completed will be subject to signing of a certificate of guarantee to confirm parent company and/or board endorsement.</t>
  </si>
  <si>
    <t>The award of any grant funding will only offered to contribute to Eligible Costs in accordance with the Terms and Conditions (excluding VAT).</t>
  </si>
  <si>
    <t>Sustainable Energy Supply</t>
  </si>
  <si>
    <t>Points out of 6</t>
  </si>
  <si>
    <t>Example Assessment of Grant Bid Submissions (Sustainable Energy Supply)</t>
  </si>
  <si>
    <t>C) No experience locally nor in the Company.  Would need to get the experience and train staff (2/10 points)</t>
  </si>
  <si>
    <t>B)  No experience locally but there is experience in the Company that is transferable and can be committed to support the delivery (6/10 points)</t>
  </si>
  <si>
    <t>Example Assessment of Grant Bid Submissions (Experience of Operating Electric Buses)</t>
  </si>
  <si>
    <t>Grant Funding for Electric Buses (excluding VAT)</t>
  </si>
  <si>
    <t>Number of Scheduled Bus Services per Weekday 
(253 days/yr)</t>
  </si>
  <si>
    <t>x777</t>
  </si>
  <si>
    <t>x888</t>
  </si>
  <si>
    <t>A to B</t>
  </si>
  <si>
    <t>B to C</t>
  </si>
  <si>
    <t>Length of Route within the Cardiff Boundary (km)</t>
  </si>
  <si>
    <t>Total Length of Route (km)</t>
  </si>
  <si>
    <t>Total Number of Weekday Bus Services Per Year</t>
  </si>
  <si>
    <t>Total Annual Weekday Mileage in Cardiff (km)</t>
  </si>
  <si>
    <t>Number of Existing Buses in the Fleet required for the weekday bus route</t>
  </si>
  <si>
    <t>Number of New Electric Buses in the Fleet required for the weekday bus route</t>
  </si>
  <si>
    <t>The assessment demonstrates that route x888 is best value.</t>
  </si>
  <si>
    <t>Total</t>
  </si>
  <si>
    <t>The information will also be used for monitoring purposes following the award of grant.</t>
  </si>
  <si>
    <t>This example demonstrates how grant award will be assessed where the value of the bids does not exceed the grant funding available.</t>
  </si>
  <si>
    <t>Proportional Award Assessment Example for bus operator B</t>
  </si>
  <si>
    <t>Grant Bid Cost per weekday km per year</t>
  </si>
  <si>
    <t>Best Value Rank 
(best value = lowest cost per km)</t>
  </si>
  <si>
    <t>The gross cost of electric buses on route x888 is £1,800,000.</t>
  </si>
  <si>
    <t>The gross cost of electric buses on route x777 is £4,500,000.</t>
  </si>
  <si>
    <t>Partial award</t>
  </si>
  <si>
    <t>Bidders must confirm that they will provide the following monitoring information for five (5) years after the start of operation if they are awarded funding:</t>
  </si>
  <si>
    <t>And the following information on request for up to seven (7) years after the award of any grant.</t>
  </si>
  <si>
    <t>and final acquisition costs being paid by 31 March 2024.</t>
  </si>
  <si>
    <t>Weighting</t>
  </si>
  <si>
    <t>Please fill in all yellow highlighted boxes.  Please insert N/A or 0 when it is not applicable.</t>
  </si>
  <si>
    <t>Cardiff Electric Bus Scheme Funding Grant Application Form</t>
  </si>
  <si>
    <t>Bidders must provide evidence that they can deliver committed spend (purchase orders) on electric vehicles and any supporting infrastructure by 31st Mach 2023 if they are awarded funding</t>
  </si>
  <si>
    <t>1. Evidence of deliverability and commitment to spend (e.g. quotes and delivery timescales from suppliers and contractors)? (Y/N)</t>
  </si>
  <si>
    <t>Number of new electric buses purchased with the grant funding passing through and Air Quality Management Area per year</t>
  </si>
  <si>
    <t>Number of passes/year</t>
  </si>
  <si>
    <t>This example demonstrates how grant award will be assessed where the value of the bids exceeds the grant funding available</t>
  </si>
  <si>
    <t>and there is only one bidder that could be awarded the partial grant funding.</t>
  </si>
  <si>
    <t>Partial Grant To Award</t>
  </si>
  <si>
    <t>However, there is only £2,875,000 of the grant funding remaining to be awarded.</t>
  </si>
  <si>
    <t>3rd Ranked Bid subject to partial award</t>
  </si>
  <si>
    <t>Bus Operator B</t>
  </si>
  <si>
    <t>Bus Operator C</t>
  </si>
  <si>
    <t>X to Y</t>
  </si>
  <si>
    <t>Total bids</t>
  </si>
  <si>
    <t>999x</t>
  </si>
  <si>
    <t>Remaining Grant Available for Partial Award</t>
  </si>
  <si>
    <t xml:space="preserve">The assessment demonstrates that: </t>
  </si>
  <si>
    <t>Route x777 by operator B is best value.</t>
  </si>
  <si>
    <t>Route 999x by operator C is second best value.</t>
  </si>
  <si>
    <t>Proportional Award Assessment Example if there is more than one bidder competing for partial award of the funding available (e.g. Operator A gets full award of £5m out of the £8m grant funding available leaving £3m for partial award).</t>
  </si>
  <si>
    <t>Award</t>
  </si>
  <si>
    <t>Grant award</t>
  </si>
  <si>
    <t>Therefore, in this example £1,800,000 would be assessed to be awarded to bus Operator B for service x777 and</t>
  </si>
  <si>
    <t>£1,075,000 would be assessed to be awarded to bus Operator B as a contribution to Electric Buses on route x888.</t>
  </si>
  <si>
    <t>and there is more than one bidder that could be awarded the partial grant funding.</t>
  </si>
  <si>
    <t>Route x888 by operator B is lowest value.</t>
  </si>
  <si>
    <t>Supporting Information</t>
  </si>
  <si>
    <t>The information provided in the following table will be used to check the Quality Criteria 1 and the Financial Criteria.</t>
  </si>
  <si>
    <t>Any proportional award would be based on funding the best value weekday routes (see Worked Examples 2 and 3 tabs in this workbook).</t>
  </si>
  <si>
    <t xml:space="preserve">It will also be used to award proportional grant depending on the bids received and outcome of the assessment (see Worked Examples 2 and 3 tabs in this workbook).  </t>
  </si>
  <si>
    <t>NOTE:  No points will be given to bids in this category if insufficient information is provided.  The Council will not award grant funding to a Bus Operator if they cannot provide sufficient evidence accompanying their responses above.</t>
  </si>
  <si>
    <t>Note:  the description will not be used towards the scoring.</t>
  </si>
  <si>
    <t>The gross costs must include all costs related to delivery of the scheme including any warranties or insurances.</t>
  </si>
  <si>
    <t xml:space="preserve">Description of any proposed electric charging infrastructure (Only complete if you propose to include electric charging infrastructure as part of your grant application, alternatively put N/A).  </t>
  </si>
  <si>
    <t>Insufficient</t>
  </si>
  <si>
    <t>The award of grant will not compensate for the costs the beneficiary would have funded in the absence of any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</si>
</sst>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u/>
      <sz val="18"/>
      <color theme="1"/>
      <name val="Calibri"/>
      <family val="2"/>
      <scheme val="minor"/>
    </font>
    <font>
      <b/>
      <sz val="24"/>
      <color theme="1"/>
      <name val="Calibri"/>
      <family val="2"/>
      <scheme val="minor"/>
    </font>
    <font>
      <b/>
      <sz val="18"/>
      <color theme="1"/>
      <name val="Calibri"/>
      <family val="2"/>
      <scheme val="minor"/>
    </font>
    <font>
      <b/>
      <u/>
      <sz val="14"/>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10">
    <xf numFmtId="0" fontId="0" fillId="0" borderId="0" xfId="0"/>
    <xf numFmtId="0" fontId="0" fillId="0" borderId="1" xfId="0" applyBorder="1"/>
    <xf numFmtId="0" fontId="0" fillId="2" borderId="1" xfId="0" applyFill="1" applyBorder="1"/>
    <xf numFmtId="44" fontId="0" fillId="0" borderId="1" xfId="2" applyFont="1" applyBorder="1"/>
    <xf numFmtId="44" fontId="0" fillId="0" borderId="1" xfId="0" applyNumberFormat="1" applyBorder="1"/>
    <xf numFmtId="0" fontId="0" fillId="0" borderId="0" xfId="0" applyAlignment="1">
      <alignment horizontal="center"/>
    </xf>
    <xf numFmtId="0" fontId="0" fillId="0" borderId="1" xfId="0" applyBorder="1" applyAlignment="1">
      <alignment horizontal="center"/>
    </xf>
    <xf numFmtId="0" fontId="3" fillId="0" borderId="0" xfId="0" applyFont="1"/>
    <xf numFmtId="0" fontId="1" fillId="0" borderId="0" xfId="0" applyFont="1"/>
    <xf numFmtId="0" fontId="0" fillId="0" borderId="0" xfId="0" applyFont="1"/>
    <xf numFmtId="0" fontId="4" fillId="0" borderId="0" xfId="0" applyFont="1"/>
    <xf numFmtId="0" fontId="1" fillId="3" borderId="1" xfId="0" applyFont="1" applyFill="1" applyBorder="1" applyAlignment="1">
      <alignment wrapText="1"/>
    </xf>
    <xf numFmtId="0" fontId="1" fillId="3" borderId="2" xfId="0" applyFont="1" applyFill="1" applyBorder="1" applyAlignment="1">
      <alignment wrapText="1"/>
    </xf>
    <xf numFmtId="164" fontId="0" fillId="3" borderId="2" xfId="1" quotePrefix="1" applyNumberFormat="1" applyFont="1" applyFill="1" applyBorder="1" applyAlignment="1">
      <alignment horizontal="center"/>
    </xf>
    <xf numFmtId="44" fontId="0" fillId="3" borderId="1" xfId="2" applyFont="1" applyFill="1" applyBorder="1"/>
    <xf numFmtId="0" fontId="5" fillId="0" borderId="0" xfId="0" applyFont="1"/>
    <xf numFmtId="0" fontId="0" fillId="4" borderId="1" xfId="0" applyFill="1" applyBorder="1" applyAlignment="1">
      <alignment horizontal="center" vertical="center"/>
    </xf>
    <xf numFmtId="0" fontId="0" fillId="0" borderId="0" xfId="0" quotePrefix="1"/>
    <xf numFmtId="0" fontId="0" fillId="0" borderId="0" xfId="0" applyFill="1" applyAlignment="1">
      <alignment horizontal="center"/>
    </xf>
    <xf numFmtId="0" fontId="0" fillId="0" borderId="6" xfId="0" applyFill="1"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center"/>
    </xf>
    <xf numFmtId="0" fontId="0" fillId="3" borderId="1" xfId="0" applyFont="1" applyFill="1" applyBorder="1" applyAlignment="1">
      <alignment wrapText="1"/>
    </xf>
    <xf numFmtId="0" fontId="0" fillId="3" borderId="1" xfId="0" applyFill="1" applyBorder="1"/>
    <xf numFmtId="0" fontId="0" fillId="0" borderId="2" xfId="0" applyBorder="1"/>
    <xf numFmtId="0" fontId="0" fillId="0" borderId="5" xfId="0" applyBorder="1"/>
    <xf numFmtId="0" fontId="0" fillId="0" borderId="3" xfId="0" applyBorder="1"/>
    <xf numFmtId="164" fontId="0" fillId="4" borderId="1" xfId="1" applyNumberFormat="1" applyFont="1" applyFill="1" applyBorder="1" applyAlignment="1">
      <alignment wrapText="1"/>
    </xf>
    <xf numFmtId="44" fontId="0" fillId="4" borderId="1" xfId="2" applyFont="1" applyFill="1" applyBorder="1" applyAlignment="1">
      <alignment wrapText="1"/>
    </xf>
    <xf numFmtId="0" fontId="1" fillId="3" borderId="1" xfId="0" applyFont="1" applyFill="1" applyBorder="1"/>
    <xf numFmtId="0" fontId="1" fillId="0" borderId="0" xfId="0" applyFont="1" applyAlignment="1">
      <alignment horizontal="left"/>
    </xf>
    <xf numFmtId="44" fontId="0" fillId="0" borderId="1" xfId="2" applyFont="1" applyFill="1" applyBorder="1" applyAlignment="1">
      <alignment horizontal="center"/>
    </xf>
    <xf numFmtId="0" fontId="0" fillId="0" borderId="0" xfId="0" applyAlignment="1">
      <alignment horizontal="right"/>
    </xf>
    <xf numFmtId="164" fontId="0" fillId="0" borderId="1" xfId="1" applyNumberFormat="1" applyFont="1" applyFill="1" applyBorder="1" applyAlignment="1">
      <alignment horizontal="center"/>
    </xf>
    <xf numFmtId="0" fontId="1" fillId="0" borderId="2" xfId="0" applyFont="1" applyBorder="1" applyAlignment="1">
      <alignment horizontal="left"/>
    </xf>
    <xf numFmtId="0" fontId="0" fillId="0" borderId="5" xfId="0" applyBorder="1" applyAlignment="1">
      <alignment horizontal="center"/>
    </xf>
    <xf numFmtId="164" fontId="4" fillId="4" borderId="1" xfId="1" applyNumberFormat="1" applyFont="1" applyFill="1" applyBorder="1"/>
    <xf numFmtId="44" fontId="4" fillId="4" borderId="1" xfId="2" applyFont="1" applyFill="1" applyBorder="1"/>
    <xf numFmtId="0" fontId="1" fillId="0" borderId="1" xfId="0" applyFont="1" applyFill="1" applyBorder="1" applyAlignment="1">
      <alignment wrapText="1"/>
    </xf>
    <xf numFmtId="164" fontId="1" fillId="0" borderId="1" xfId="1" applyNumberFormat="1" applyFont="1" applyFill="1" applyBorder="1" applyAlignment="1">
      <alignment wrapText="1"/>
    </xf>
    <xf numFmtId="44" fontId="1" fillId="0" borderId="1" xfId="2" applyFont="1" applyFill="1" applyBorder="1" applyAlignment="1">
      <alignment wrapText="1"/>
    </xf>
    <xf numFmtId="44" fontId="1" fillId="0" borderId="1" xfId="2" applyFont="1" applyFill="1" applyBorder="1"/>
    <xf numFmtId="44" fontId="4" fillId="3" borderId="1" xfId="2" applyFont="1" applyFill="1" applyBorder="1"/>
    <xf numFmtId="44" fontId="0" fillId="0" borderId="1" xfId="2" applyFont="1" applyBorder="1" applyAlignment="1">
      <alignment horizontal="center"/>
    </xf>
    <xf numFmtId="0" fontId="0" fillId="0" borderId="7" xfId="0" applyBorder="1"/>
    <xf numFmtId="165" fontId="0" fillId="0" borderId="1" xfId="0" applyNumberFormat="1" applyFill="1" applyBorder="1" applyAlignment="1">
      <alignment horizontal="center"/>
    </xf>
    <xf numFmtId="44" fontId="4" fillId="3" borderId="1" xfId="2" applyFont="1" applyFill="1" applyBorder="1" applyAlignment="1">
      <alignment wrapText="1"/>
    </xf>
    <xf numFmtId="0" fontId="1" fillId="3" borderId="8" xfId="0" applyFont="1" applyFill="1" applyBorder="1" applyAlignment="1">
      <alignment wrapText="1"/>
    </xf>
    <xf numFmtId="0" fontId="0" fillId="3" borderId="1" xfId="0" applyFill="1" applyBorder="1" applyAlignment="1">
      <alignment horizontal="center"/>
    </xf>
    <xf numFmtId="0" fontId="1" fillId="3" borderId="1" xfId="0" applyFont="1" applyFill="1" applyBorder="1" applyAlignment="1">
      <alignment horizontal="center"/>
    </xf>
    <xf numFmtId="0" fontId="0" fillId="5" borderId="1" xfId="0" applyFill="1" applyBorder="1"/>
    <xf numFmtId="0" fontId="0" fillId="5" borderId="1" xfId="0" applyFill="1" applyBorder="1" applyAlignment="1">
      <alignment horizontal="center"/>
    </xf>
    <xf numFmtId="0" fontId="1" fillId="0"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alignment horizontal="left"/>
    </xf>
    <xf numFmtId="164" fontId="4" fillId="5" borderId="1" xfId="1" applyNumberFormat="1" applyFont="1" applyFill="1" applyBorder="1"/>
    <xf numFmtId="44" fontId="4" fillId="5" borderId="1" xfId="2" applyFont="1" applyFill="1" applyBorder="1"/>
    <xf numFmtId="44" fontId="4" fillId="5" borderId="1" xfId="0" applyNumberFormat="1" applyFont="1" applyFill="1" applyBorder="1"/>
    <xf numFmtId="44" fontId="0" fillId="5" borderId="1" xfId="2" applyFont="1" applyFill="1" applyBorder="1" applyAlignment="1">
      <alignment horizontal="center"/>
    </xf>
    <xf numFmtId="164" fontId="0" fillId="5" borderId="1" xfId="0" applyNumberFormat="1" applyFill="1" applyBorder="1" applyAlignment="1">
      <alignment horizontal="center"/>
    </xf>
    <xf numFmtId="165" fontId="0" fillId="2" borderId="1" xfId="0" applyNumberFormat="1" applyFill="1" applyBorder="1" applyAlignment="1">
      <alignment horizontal="center"/>
    </xf>
    <xf numFmtId="0" fontId="1" fillId="2" borderId="1" xfId="0" applyFont="1" applyFill="1" applyBorder="1"/>
    <xf numFmtId="44" fontId="0" fillId="2" borderId="1" xfId="0" applyNumberFormat="1" applyFill="1" applyBorder="1"/>
    <xf numFmtId="0" fontId="0" fillId="2" borderId="1" xfId="0" applyFill="1" applyBorder="1" applyAlignment="1">
      <alignment horizontal="center"/>
    </xf>
    <xf numFmtId="164" fontId="0" fillId="5" borderId="1" xfId="1" applyNumberFormat="1" applyFont="1" applyFill="1" applyBorder="1" applyAlignment="1">
      <alignment horizontal="center"/>
    </xf>
    <xf numFmtId="165" fontId="0" fillId="3" borderId="1" xfId="0" applyNumberFormat="1" applyFill="1" applyBorder="1"/>
    <xf numFmtId="44" fontId="0" fillId="0" borderId="0" xfId="2" applyFont="1"/>
    <xf numFmtId="0" fontId="0" fillId="0" borderId="0" xfId="0" applyFont="1" applyAlignment="1">
      <alignment horizontal="left"/>
    </xf>
    <xf numFmtId="164" fontId="0" fillId="0" borderId="1" xfId="0" applyNumberFormat="1" applyFill="1" applyBorder="1"/>
    <xf numFmtId="164" fontId="0" fillId="0" borderId="1" xfId="0" applyNumberFormat="1" applyFill="1" applyBorder="1" applyAlignment="1">
      <alignment horizontal="center"/>
    </xf>
    <xf numFmtId="0" fontId="6" fillId="0" borderId="0" xfId="0" applyFont="1" applyFill="1"/>
    <xf numFmtId="0" fontId="0" fillId="0" borderId="0" xfId="0" applyFill="1"/>
    <xf numFmtId="0" fontId="0" fillId="0" borderId="9" xfId="0" applyBorder="1" applyAlignment="1">
      <alignment horizontal="center"/>
    </xf>
    <xf numFmtId="0" fontId="1" fillId="3" borderId="3" xfId="0" applyFont="1" applyFill="1" applyBorder="1" applyAlignment="1">
      <alignment wrapText="1"/>
    </xf>
    <xf numFmtId="0" fontId="0" fillId="0" borderId="0" xfId="0" applyFill="1" applyBorder="1" applyAlignment="1">
      <alignment horizontal="left"/>
    </xf>
    <xf numFmtId="0" fontId="0" fillId="5" borderId="1" xfId="0" quotePrefix="1" applyFill="1" applyBorder="1" applyAlignment="1">
      <alignment horizontal="center"/>
    </xf>
    <xf numFmtId="0" fontId="0" fillId="5" borderId="1" xfId="0" quotePrefix="1" applyFill="1" applyBorder="1" applyAlignment="1">
      <alignment horizontal="center" wrapText="1"/>
    </xf>
    <xf numFmtId="0" fontId="0" fillId="5" borderId="4" xfId="0" quotePrefix="1" applyFill="1" applyBorder="1" applyAlignment="1">
      <alignment horizontal="center"/>
    </xf>
    <xf numFmtId="0" fontId="0" fillId="5" borderId="3" xfId="0" quotePrefix="1" applyFill="1" applyBorder="1" applyAlignment="1">
      <alignment horizontal="center"/>
    </xf>
    <xf numFmtId="44" fontId="0" fillId="5" borderId="1" xfId="2" quotePrefix="1" applyFont="1" applyFill="1" applyBorder="1" applyAlignment="1">
      <alignment horizontal="center"/>
    </xf>
    <xf numFmtId="164" fontId="0" fillId="0" borderId="1" xfId="0" applyNumberFormat="1" applyBorder="1"/>
    <xf numFmtId="0" fontId="0" fillId="0" borderId="1" xfId="0" applyFill="1" applyBorder="1"/>
    <xf numFmtId="0" fontId="4" fillId="0" borderId="0" xfId="0" applyFont="1" applyFill="1"/>
    <xf numFmtId="0" fontId="7" fillId="0" borderId="0" xfId="0" applyFont="1"/>
    <xf numFmtId="164" fontId="4" fillId="5" borderId="1" xfId="0" applyNumberFormat="1" applyFont="1" applyFill="1" applyBorder="1"/>
    <xf numFmtId="44" fontId="0" fillId="6" borderId="1" xfId="0" applyNumberFormat="1" applyFill="1" applyBorder="1"/>
    <xf numFmtId="164" fontId="0" fillId="0" borderId="0" xfId="0" applyNumberFormat="1" applyBorder="1"/>
    <xf numFmtId="44" fontId="0" fillId="0" borderId="0" xfId="0" applyNumberFormat="1" applyBorder="1"/>
    <xf numFmtId="0" fontId="0" fillId="0" borderId="0" xfId="0" applyFill="1" applyBorder="1"/>
    <xf numFmtId="0" fontId="0" fillId="0" borderId="0" xfId="0" applyFill="1" applyBorder="1" applyAlignment="1">
      <alignment horizontal="right"/>
    </xf>
    <xf numFmtId="0" fontId="0" fillId="0" borderId="2" xfId="0" applyFill="1" applyBorder="1"/>
    <xf numFmtId="0" fontId="0" fillId="0" borderId="5" xfId="0" applyFill="1" applyBorder="1"/>
    <xf numFmtId="0" fontId="0" fillId="0" borderId="5" xfId="0" applyFill="1" applyBorder="1" applyAlignment="1">
      <alignment horizontal="left"/>
    </xf>
    <xf numFmtId="0" fontId="0" fillId="4" borderId="1" xfId="0" quotePrefix="1" applyFill="1" applyBorder="1" applyAlignment="1">
      <alignment horizontal="left" vertical="top"/>
    </xf>
    <xf numFmtId="0" fontId="0" fillId="4" borderId="1" xfId="0" quotePrefix="1" applyFill="1" applyBorder="1" applyAlignment="1">
      <alignment horizontal="left" vertical="top" wrapText="1"/>
    </xf>
    <xf numFmtId="0" fontId="0" fillId="4" borderId="1" xfId="0" quotePrefix="1" applyFill="1" applyBorder="1" applyAlignment="1">
      <alignment horizontal="center" vertical="center"/>
    </xf>
    <xf numFmtId="0" fontId="0" fillId="4" borderId="4" xfId="0" quotePrefix="1" applyFill="1" applyBorder="1" applyAlignment="1">
      <alignment horizontal="right" vertical="center"/>
    </xf>
    <xf numFmtId="0" fontId="0" fillId="4" borderId="3" xfId="0" quotePrefix="1" applyFill="1" applyBorder="1" applyAlignment="1">
      <alignment horizontal="right" vertical="center"/>
    </xf>
    <xf numFmtId="44" fontId="0" fillId="4" borderId="1" xfId="2" quotePrefix="1" applyFont="1" applyFill="1" applyBorder="1" applyAlignment="1">
      <alignment horizontal="right" vertical="center"/>
    </xf>
    <xf numFmtId="0" fontId="8" fillId="0" borderId="0" xfId="0" applyFont="1"/>
    <xf numFmtId="0" fontId="1" fillId="0" borderId="0" xfId="0" applyFont="1" applyFill="1"/>
    <xf numFmtId="0" fontId="0" fillId="4" borderId="1" xfId="0" applyFill="1" applyBorder="1" applyAlignment="1">
      <alignment horizontal="left" vertical="center"/>
    </xf>
    <xf numFmtId="0" fontId="0" fillId="4" borderId="1" xfId="0" applyFill="1" applyBorder="1" applyAlignment="1">
      <alignment horizontal="left" vertical="top"/>
    </xf>
    <xf numFmtId="0" fontId="1" fillId="3" borderId="1" xfId="0" applyFont="1" applyFill="1" applyBorder="1" applyAlignment="1">
      <alignment horizontal="left" wrapText="1"/>
    </xf>
    <xf numFmtId="0" fontId="0" fillId="4" borderId="2" xfId="0" applyFill="1" applyBorder="1" applyAlignment="1">
      <alignment horizontal="left" vertical="top"/>
    </xf>
    <xf numFmtId="0" fontId="0" fillId="4" borderId="5" xfId="0" applyFill="1" applyBorder="1" applyAlignment="1">
      <alignment horizontal="left" vertical="top"/>
    </xf>
    <xf numFmtId="0" fontId="0" fillId="4" borderId="3" xfId="0" applyFill="1" applyBorder="1" applyAlignment="1">
      <alignment horizontal="left" vertical="top"/>
    </xf>
    <xf numFmtId="0" fontId="0" fillId="0" borderId="2"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cellXfs>
  <cellStyles count="3">
    <cellStyle name="Comma" xfId="1" builtinId="3"/>
    <cellStyle name="Currency" xfId="2" builtinId="4"/>
    <cellStyle name="Normal" xfId="0" builtinId="0"/>
  </cellStyles>
  <dxfs count="12">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30FB5-1BC9-4F78-BEFB-43097D5D8E91}">
  <dimension ref="A1:O166"/>
  <sheetViews>
    <sheetView tabSelected="1" zoomScaleNormal="100" workbookViewId="0">
      <selection activeCell="D55" sqref="D55"/>
    </sheetView>
  </sheetViews>
  <sheetFormatPr defaultRowHeight="14.5" x14ac:dyDescent="0.35"/>
  <cols>
    <col min="2" max="2" width="20.453125" customWidth="1"/>
    <col min="3" max="3" width="31.08984375" customWidth="1"/>
    <col min="4" max="4" width="15.1796875" customWidth="1"/>
    <col min="5" max="5" width="12.08984375" customWidth="1"/>
    <col min="6" max="6" width="14.54296875" customWidth="1"/>
    <col min="7" max="7" width="14.90625" customWidth="1"/>
    <col min="8" max="8" width="14.81640625" customWidth="1"/>
    <col min="9" max="9" width="13.90625" customWidth="1"/>
    <col min="10" max="10" width="10.6328125" customWidth="1"/>
    <col min="11" max="11" width="15.08984375" customWidth="1"/>
    <col min="12" max="13" width="15.36328125" customWidth="1"/>
    <col min="14" max="14" width="15.90625" customWidth="1"/>
    <col min="15" max="15" width="17" customWidth="1"/>
  </cols>
  <sheetData>
    <row r="1" spans="2:7" ht="23.5" x14ac:dyDescent="0.55000000000000004">
      <c r="B1" s="83" t="s">
        <v>161</v>
      </c>
    </row>
    <row r="3" spans="2:7" ht="23.5" x14ac:dyDescent="0.55000000000000004">
      <c r="B3" s="83" t="s">
        <v>160</v>
      </c>
    </row>
    <row r="5" spans="2:7" ht="23.5" x14ac:dyDescent="0.55000000000000004">
      <c r="B5" s="15" t="s">
        <v>42</v>
      </c>
    </row>
    <row r="7" spans="2:7" x14ac:dyDescent="0.35">
      <c r="B7" s="101"/>
      <c r="C7" s="101"/>
      <c r="D7" s="101"/>
      <c r="E7" s="101"/>
      <c r="F7" s="101"/>
      <c r="G7" t="s">
        <v>0</v>
      </c>
    </row>
    <row r="9" spans="2:7" x14ac:dyDescent="0.35">
      <c r="B9" s="101"/>
      <c r="C9" s="101"/>
      <c r="D9" s="101"/>
      <c r="E9" s="101"/>
      <c r="F9" s="101"/>
      <c r="G9" t="s">
        <v>37</v>
      </c>
    </row>
    <row r="11" spans="2:7" x14ac:dyDescent="0.35">
      <c r="B11" s="101"/>
      <c r="C11" s="101"/>
      <c r="D11" s="101"/>
      <c r="E11" s="101"/>
      <c r="F11" s="101"/>
      <c r="G11" t="s">
        <v>38</v>
      </c>
    </row>
    <row r="13" spans="2:7" x14ac:dyDescent="0.35">
      <c r="B13" s="101"/>
      <c r="C13" s="101"/>
      <c r="D13" s="101"/>
      <c r="E13" s="101"/>
      <c r="F13" s="101"/>
      <c r="G13" t="s">
        <v>39</v>
      </c>
    </row>
    <row r="15" spans="2:7" x14ac:dyDescent="0.35">
      <c r="B15" s="101"/>
      <c r="C15" s="101"/>
      <c r="D15" s="101"/>
      <c r="E15" s="101"/>
      <c r="F15" s="101"/>
      <c r="G15" t="s">
        <v>40</v>
      </c>
    </row>
    <row r="17" spans="2:7" x14ac:dyDescent="0.35">
      <c r="B17" s="101"/>
      <c r="C17" s="101"/>
      <c r="D17" s="101"/>
      <c r="E17" s="101"/>
      <c r="F17" s="101"/>
      <c r="G17" t="s">
        <v>41</v>
      </c>
    </row>
    <row r="19" spans="2:7" ht="23.5" x14ac:dyDescent="0.55000000000000004">
      <c r="B19" s="15" t="s">
        <v>11</v>
      </c>
    </row>
    <row r="20" spans="2:7" x14ac:dyDescent="0.35">
      <c r="B20" s="8" t="s">
        <v>23</v>
      </c>
    </row>
    <row r="21" spans="2:7" x14ac:dyDescent="0.35">
      <c r="B21" t="s">
        <v>162</v>
      </c>
    </row>
    <row r="22" spans="2:7" x14ac:dyDescent="0.35">
      <c r="B22" t="s">
        <v>158</v>
      </c>
    </row>
    <row r="23" spans="2:7" x14ac:dyDescent="0.35">
      <c r="B23" s="16"/>
      <c r="C23" t="s">
        <v>163</v>
      </c>
    </row>
    <row r="25" spans="2:7" x14ac:dyDescent="0.35">
      <c r="B25" s="8" t="s">
        <v>24</v>
      </c>
    </row>
    <row r="26" spans="2:7" x14ac:dyDescent="0.35">
      <c r="B26" t="s">
        <v>156</v>
      </c>
    </row>
    <row r="27" spans="2:7" x14ac:dyDescent="0.35">
      <c r="B27" s="9" t="s">
        <v>22</v>
      </c>
    </row>
    <row r="28" spans="2:7" x14ac:dyDescent="0.35">
      <c r="B28" t="s">
        <v>25</v>
      </c>
    </row>
    <row r="29" spans="2:7" x14ac:dyDescent="0.35">
      <c r="B29" t="s">
        <v>54</v>
      </c>
    </row>
    <row r="30" spans="2:7" x14ac:dyDescent="0.35">
      <c r="B30" t="s">
        <v>157</v>
      </c>
    </row>
    <row r="31" spans="2:7" x14ac:dyDescent="0.35">
      <c r="B31" t="s">
        <v>55</v>
      </c>
    </row>
    <row r="32" spans="2:7" x14ac:dyDescent="0.35">
      <c r="B32" s="16"/>
      <c r="C32" s="9" t="s">
        <v>113</v>
      </c>
    </row>
    <row r="34" spans="2:12" ht="18.5" x14ac:dyDescent="0.45">
      <c r="B34" s="10" t="s">
        <v>45</v>
      </c>
    </row>
    <row r="35" spans="2:12" ht="18.5" x14ac:dyDescent="0.45">
      <c r="B35" s="10" t="s">
        <v>43</v>
      </c>
    </row>
    <row r="36" spans="2:12" ht="18.5" x14ac:dyDescent="0.45">
      <c r="B36" s="10" t="s">
        <v>44</v>
      </c>
    </row>
    <row r="37" spans="2:12" ht="18.5" x14ac:dyDescent="0.45">
      <c r="B37" s="10" t="s">
        <v>46</v>
      </c>
    </row>
    <row r="38" spans="2:12" ht="18.5" x14ac:dyDescent="0.45">
      <c r="B38" s="10" t="s">
        <v>126</v>
      </c>
    </row>
    <row r="39" spans="2:12" ht="18.5" x14ac:dyDescent="0.45">
      <c r="B39" s="82" t="s">
        <v>125</v>
      </c>
      <c r="C39" s="71"/>
      <c r="D39" s="71"/>
      <c r="E39" s="71"/>
      <c r="F39" s="71"/>
      <c r="G39" s="71"/>
      <c r="H39" s="71"/>
      <c r="I39" s="71"/>
      <c r="J39" s="71"/>
      <c r="K39" s="71"/>
      <c r="L39" s="71"/>
    </row>
    <row r="40" spans="2:12" ht="18.5" x14ac:dyDescent="0.45">
      <c r="B40" s="82" t="s">
        <v>196</v>
      </c>
      <c r="C40" s="71"/>
      <c r="D40" s="71"/>
      <c r="E40" s="71"/>
      <c r="F40" s="71"/>
      <c r="G40" s="71"/>
      <c r="H40" s="71"/>
      <c r="I40" s="71"/>
      <c r="J40" s="71"/>
      <c r="K40" s="71"/>
      <c r="L40" s="71"/>
    </row>
    <row r="41" spans="2:12" ht="18.5" x14ac:dyDescent="0.45">
      <c r="B41" s="10" t="s">
        <v>127</v>
      </c>
    </row>
    <row r="42" spans="2:12" ht="18.5" x14ac:dyDescent="0.45">
      <c r="B42" s="10" t="s">
        <v>47</v>
      </c>
    </row>
    <row r="43" spans="2:12" ht="18.5" x14ac:dyDescent="0.45">
      <c r="B43" s="10" t="s">
        <v>48</v>
      </c>
    </row>
    <row r="44" spans="2:12" ht="18.5" x14ac:dyDescent="0.45">
      <c r="B44" s="10" t="s">
        <v>50</v>
      </c>
    </row>
    <row r="45" spans="2:12" ht="18.5" x14ac:dyDescent="0.45">
      <c r="B45" s="10" t="s">
        <v>49</v>
      </c>
    </row>
    <row r="49" spans="2:14" ht="23.5" x14ac:dyDescent="0.55000000000000004">
      <c r="B49" s="15" t="s">
        <v>72</v>
      </c>
      <c r="C49" s="10"/>
    </row>
    <row r="50" spans="2:14" ht="18.5" x14ac:dyDescent="0.45">
      <c r="B50" s="10"/>
      <c r="C50" s="10"/>
      <c r="H50" s="30" t="s">
        <v>62</v>
      </c>
      <c r="I50" s="5"/>
    </row>
    <row r="51" spans="2:14" ht="18.5" x14ac:dyDescent="0.45">
      <c r="B51" s="10"/>
      <c r="C51" s="10"/>
      <c r="H51" s="34"/>
      <c r="I51" s="35" t="s">
        <v>71</v>
      </c>
      <c r="J51" s="26"/>
      <c r="L51" s="24"/>
      <c r="M51" s="25" t="s">
        <v>73</v>
      </c>
      <c r="N51" s="26"/>
    </row>
    <row r="52" spans="2:14" ht="29" x14ac:dyDescent="0.35">
      <c r="B52" s="11" t="s">
        <v>58</v>
      </c>
      <c r="C52" s="11" t="s">
        <v>69</v>
      </c>
      <c r="D52" s="49" t="s">
        <v>159</v>
      </c>
      <c r="E52" s="11" t="s">
        <v>59</v>
      </c>
      <c r="H52" s="6" t="s">
        <v>63</v>
      </c>
      <c r="I52" s="6" t="s">
        <v>64</v>
      </c>
      <c r="J52" s="6" t="s">
        <v>65</v>
      </c>
      <c r="K52" s="5" t="s">
        <v>159</v>
      </c>
      <c r="L52" s="6" t="s">
        <v>63</v>
      </c>
      <c r="M52" s="6" t="s">
        <v>64</v>
      </c>
      <c r="N52" s="6" t="s">
        <v>65</v>
      </c>
    </row>
    <row r="53" spans="2:14" ht="18.5" x14ac:dyDescent="0.45">
      <c r="B53" s="29" t="s">
        <v>5</v>
      </c>
      <c r="C53" s="36">
        <v>0</v>
      </c>
      <c r="D53" s="48">
        <v>6</v>
      </c>
      <c r="E53" s="50">
        <f>ROUND(C53*D53,0)</f>
        <v>0</v>
      </c>
      <c r="H53" s="33">
        <v>0</v>
      </c>
      <c r="I53" s="33">
        <v>0</v>
      </c>
      <c r="J53" s="33">
        <v>20000</v>
      </c>
      <c r="K53" s="18">
        <v>6</v>
      </c>
      <c r="L53" s="21">
        <f t="shared" ref="L53:N58" si="0">H53*$K53</f>
        <v>0</v>
      </c>
      <c r="M53" s="21">
        <f t="shared" si="0"/>
        <v>0</v>
      </c>
      <c r="N53" s="21">
        <f t="shared" si="0"/>
        <v>120000</v>
      </c>
    </row>
    <row r="54" spans="2:14" ht="18.5" x14ac:dyDescent="0.45">
      <c r="B54" s="29" t="s">
        <v>6</v>
      </c>
      <c r="C54" s="36">
        <v>1E-4</v>
      </c>
      <c r="D54" s="48">
        <v>5</v>
      </c>
      <c r="E54" s="50">
        <f t="shared" ref="E54:E58" si="1">ROUND(C54*D54,0)</f>
        <v>0</v>
      </c>
      <c r="H54" s="33">
        <v>0</v>
      </c>
      <c r="I54" s="33">
        <v>40000</v>
      </c>
      <c r="J54" s="33">
        <v>30000</v>
      </c>
      <c r="K54" s="19">
        <v>5</v>
      </c>
      <c r="L54" s="21">
        <f t="shared" si="0"/>
        <v>0</v>
      </c>
      <c r="M54" s="21">
        <f t="shared" si="0"/>
        <v>200000</v>
      </c>
      <c r="N54" s="21">
        <f t="shared" si="0"/>
        <v>150000</v>
      </c>
    </row>
    <row r="55" spans="2:14" ht="18.5" x14ac:dyDescent="0.45">
      <c r="B55" s="29" t="s">
        <v>7</v>
      </c>
      <c r="C55" s="36">
        <v>1E-4</v>
      </c>
      <c r="D55" s="48">
        <v>4</v>
      </c>
      <c r="E55" s="50">
        <f t="shared" si="1"/>
        <v>0</v>
      </c>
      <c r="H55" s="33">
        <v>0</v>
      </c>
      <c r="I55" s="33">
        <v>50000</v>
      </c>
      <c r="J55" s="33">
        <v>0</v>
      </c>
      <c r="K55" s="19">
        <v>4</v>
      </c>
      <c r="L55" s="21">
        <f t="shared" si="0"/>
        <v>0</v>
      </c>
      <c r="M55" s="21">
        <f t="shared" si="0"/>
        <v>200000</v>
      </c>
      <c r="N55" s="21">
        <f t="shared" si="0"/>
        <v>0</v>
      </c>
    </row>
    <row r="56" spans="2:14" ht="18.5" x14ac:dyDescent="0.45">
      <c r="B56" s="29" t="s">
        <v>8</v>
      </c>
      <c r="C56" s="36">
        <v>1E-4</v>
      </c>
      <c r="D56" s="48">
        <v>3</v>
      </c>
      <c r="E56" s="50">
        <f t="shared" si="1"/>
        <v>0</v>
      </c>
      <c r="H56" s="33">
        <v>30000</v>
      </c>
      <c r="I56" s="33">
        <v>0</v>
      </c>
      <c r="J56" s="33">
        <v>0</v>
      </c>
      <c r="K56" s="19">
        <v>3</v>
      </c>
      <c r="L56" s="21">
        <f t="shared" si="0"/>
        <v>90000</v>
      </c>
      <c r="M56" s="21">
        <f t="shared" si="0"/>
        <v>0</v>
      </c>
      <c r="N56" s="21">
        <f t="shared" si="0"/>
        <v>0</v>
      </c>
    </row>
    <row r="57" spans="2:14" ht="18.5" x14ac:dyDescent="0.45">
      <c r="B57" s="29" t="s">
        <v>9</v>
      </c>
      <c r="C57" s="36">
        <v>1E-4</v>
      </c>
      <c r="D57" s="48">
        <v>2</v>
      </c>
      <c r="E57" s="50">
        <f t="shared" si="1"/>
        <v>0</v>
      </c>
      <c r="H57" s="33">
        <v>20000</v>
      </c>
      <c r="I57" s="33">
        <v>0</v>
      </c>
      <c r="J57" s="33">
        <v>20000</v>
      </c>
      <c r="K57" s="20">
        <v>2</v>
      </c>
      <c r="L57" s="21">
        <f t="shared" si="0"/>
        <v>40000</v>
      </c>
      <c r="M57" s="21">
        <f t="shared" si="0"/>
        <v>0</v>
      </c>
      <c r="N57" s="21">
        <f t="shared" si="0"/>
        <v>40000</v>
      </c>
    </row>
    <row r="58" spans="2:14" ht="18.5" x14ac:dyDescent="0.45">
      <c r="B58" s="29" t="s">
        <v>10</v>
      </c>
      <c r="C58" s="36">
        <v>1E-4</v>
      </c>
      <c r="D58" s="48">
        <v>1</v>
      </c>
      <c r="E58" s="50">
        <f t="shared" si="1"/>
        <v>0</v>
      </c>
      <c r="H58" s="33">
        <v>400000</v>
      </c>
      <c r="I58" s="33">
        <v>200000</v>
      </c>
      <c r="J58" s="33">
        <v>180000</v>
      </c>
      <c r="K58" s="20">
        <v>1</v>
      </c>
      <c r="L58" s="21">
        <f t="shared" si="0"/>
        <v>400000</v>
      </c>
      <c r="M58" s="21">
        <f t="shared" si="0"/>
        <v>200000</v>
      </c>
      <c r="N58" s="21">
        <f t="shared" si="0"/>
        <v>180000</v>
      </c>
    </row>
    <row r="59" spans="2:14" ht="30" x14ac:dyDescent="0.45">
      <c r="B59" s="11" t="s">
        <v>67</v>
      </c>
      <c r="C59" s="55">
        <f>SUM(C53:C58)</f>
        <v>5.0000000000000001E-4</v>
      </c>
      <c r="D59" s="23" t="s">
        <v>60</v>
      </c>
      <c r="E59" s="23">
        <f>SUM(E53:E58)</f>
        <v>0</v>
      </c>
      <c r="G59" s="32" t="s">
        <v>76</v>
      </c>
      <c r="H59" s="68">
        <f>SUM(H53:H58)</f>
        <v>450000</v>
      </c>
      <c r="I59" s="68">
        <f>SUM(I53:I58)</f>
        <v>290000</v>
      </c>
      <c r="J59" s="68">
        <f>SUM(J53:J58)</f>
        <v>250000</v>
      </c>
      <c r="K59" s="32" t="s">
        <v>60</v>
      </c>
      <c r="L59" s="21">
        <f>SUM(L53:L58)</f>
        <v>530000</v>
      </c>
      <c r="M59" s="21">
        <f>SUM(M53:M58)</f>
        <v>600000</v>
      </c>
      <c r="N59" s="21">
        <f>SUM(N53:N58)</f>
        <v>490000</v>
      </c>
    </row>
    <row r="60" spans="2:14" x14ac:dyDescent="0.35">
      <c r="H60" t="s">
        <v>61</v>
      </c>
      <c r="I60" s="44">
        <v>10</v>
      </c>
      <c r="K60" s="32" t="s">
        <v>74</v>
      </c>
      <c r="L60" s="21">
        <f>ROUND((L59/MAX($L59:$N59))*$I60,1)</f>
        <v>8.8000000000000007</v>
      </c>
      <c r="M60" s="21">
        <f>ROUND((M59/MAX($L59:$N59))*$I60,1)</f>
        <v>10</v>
      </c>
      <c r="N60" s="21">
        <f>ROUND((N59/MAX($L59:$N59))*$I60,1)</f>
        <v>8.1999999999999993</v>
      </c>
    </row>
    <row r="61" spans="2:14" x14ac:dyDescent="0.35">
      <c r="L61" s="5"/>
      <c r="M61" s="5"/>
      <c r="N61" s="5"/>
    </row>
    <row r="63" spans="2:14" ht="23.5" x14ac:dyDescent="0.55000000000000004">
      <c r="B63" s="15" t="s">
        <v>26</v>
      </c>
      <c r="C63" s="10"/>
    </row>
    <row r="64" spans="2:14" ht="18.5" x14ac:dyDescent="0.45">
      <c r="C64" s="10"/>
    </row>
    <row r="65" spans="2:14" ht="44.5" x14ac:dyDescent="0.45">
      <c r="B65" s="11" t="s">
        <v>15</v>
      </c>
      <c r="C65" s="37">
        <v>0</v>
      </c>
      <c r="D65" t="s">
        <v>193</v>
      </c>
    </row>
    <row r="66" spans="2:14" ht="30" x14ac:dyDescent="0.45">
      <c r="B66" s="11" t="s">
        <v>87</v>
      </c>
      <c r="C66" s="37">
        <v>0</v>
      </c>
    </row>
    <row r="67" spans="2:14" ht="44.5" x14ac:dyDescent="0.45">
      <c r="B67" s="11" t="s">
        <v>91</v>
      </c>
      <c r="C67" s="42">
        <f>C65-C66</f>
        <v>0</v>
      </c>
    </row>
    <row r="68" spans="2:14" ht="18.5" x14ac:dyDescent="0.45">
      <c r="B68" s="10"/>
      <c r="C68" s="10"/>
    </row>
    <row r="69" spans="2:14" ht="18.5" x14ac:dyDescent="0.45">
      <c r="B69" s="10"/>
      <c r="C69" s="10"/>
      <c r="L69" s="5"/>
      <c r="M69" s="5"/>
      <c r="N69" s="5"/>
    </row>
    <row r="70" spans="2:14" ht="18.5" x14ac:dyDescent="0.45">
      <c r="B70" s="10" t="s">
        <v>51</v>
      </c>
    </row>
    <row r="72" spans="2:14" x14ac:dyDescent="0.35">
      <c r="B72" t="s">
        <v>194</v>
      </c>
    </row>
    <row r="73" spans="2:14" x14ac:dyDescent="0.35">
      <c r="B73" t="s">
        <v>192</v>
      </c>
    </row>
    <row r="74" spans="2:14" ht="61.25" customHeight="1" x14ac:dyDescent="0.35">
      <c r="B74" s="104"/>
      <c r="C74" s="105"/>
      <c r="D74" s="105"/>
      <c r="E74" s="105"/>
      <c r="F74" s="105"/>
      <c r="G74" s="105"/>
      <c r="H74" s="105"/>
      <c r="I74" s="106"/>
    </row>
    <row r="76" spans="2:14" x14ac:dyDescent="0.35">
      <c r="K76" s="30" t="s">
        <v>77</v>
      </c>
    </row>
    <row r="77" spans="2:14" ht="101.5" x14ac:dyDescent="0.35">
      <c r="B77" s="103" t="s">
        <v>57</v>
      </c>
      <c r="C77" s="103"/>
      <c r="D77" s="103"/>
      <c r="F77" s="22" t="s">
        <v>110</v>
      </c>
      <c r="G77" s="22" t="s">
        <v>19</v>
      </c>
      <c r="H77" s="22" t="s">
        <v>21</v>
      </c>
      <c r="I77" s="22" t="s">
        <v>20</v>
      </c>
      <c r="K77" s="38" t="s">
        <v>18</v>
      </c>
      <c r="L77" s="38" t="s">
        <v>19</v>
      </c>
      <c r="M77" s="38" t="s">
        <v>21</v>
      </c>
      <c r="N77" s="38" t="s">
        <v>20</v>
      </c>
    </row>
    <row r="78" spans="2:14" x14ac:dyDescent="0.35">
      <c r="B78" s="103"/>
      <c r="C78" s="103"/>
      <c r="D78" s="103"/>
      <c r="F78" s="27">
        <v>1E-3</v>
      </c>
      <c r="G78" s="27">
        <v>1E-3</v>
      </c>
      <c r="H78" s="28">
        <v>1E-3</v>
      </c>
      <c r="I78" s="14">
        <f>H78*(G78/F78)</f>
        <v>1E-3</v>
      </c>
      <c r="K78" s="39">
        <v>200000</v>
      </c>
      <c r="L78" s="39">
        <v>50000</v>
      </c>
      <c r="M78" s="40">
        <v>500000</v>
      </c>
      <c r="N78" s="41">
        <f>M78*(L78/K78)</f>
        <v>125000</v>
      </c>
    </row>
    <row r="81" spans="2:15" x14ac:dyDescent="0.35">
      <c r="I81" s="30" t="s">
        <v>70</v>
      </c>
    </row>
    <row r="82" spans="2:15" x14ac:dyDescent="0.35">
      <c r="K82" s="5"/>
      <c r="L82" s="6" t="s">
        <v>63</v>
      </c>
      <c r="M82" s="6" t="s">
        <v>64</v>
      </c>
      <c r="N82" s="6" t="s">
        <v>65</v>
      </c>
    </row>
    <row r="83" spans="2:15" ht="44.5" x14ac:dyDescent="0.45">
      <c r="B83" s="11" t="s">
        <v>91</v>
      </c>
      <c r="C83" s="56">
        <f>C67</f>
        <v>0</v>
      </c>
      <c r="K83" s="32" t="s">
        <v>91</v>
      </c>
      <c r="L83" s="43">
        <v>2000000</v>
      </c>
      <c r="M83" s="43">
        <v>1000000</v>
      </c>
      <c r="N83" s="43">
        <v>3000000</v>
      </c>
    </row>
    <row r="84" spans="2:15" ht="59" x14ac:dyDescent="0.45">
      <c r="B84" s="11" t="s">
        <v>92</v>
      </c>
      <c r="C84" s="57">
        <f>I78</f>
        <v>1E-3</v>
      </c>
      <c r="K84" s="32" t="s">
        <v>92</v>
      </c>
      <c r="L84" s="43">
        <v>125000</v>
      </c>
      <c r="M84" s="43">
        <v>0</v>
      </c>
      <c r="N84" s="43">
        <v>0</v>
      </c>
    </row>
    <row r="85" spans="2:15" ht="59" x14ac:dyDescent="0.45">
      <c r="B85" s="11" t="s">
        <v>93</v>
      </c>
      <c r="C85" s="57">
        <f>C83+C84</f>
        <v>1E-3</v>
      </c>
      <c r="K85" s="32" t="s">
        <v>93</v>
      </c>
      <c r="L85" s="43">
        <f>L83+L84</f>
        <v>2125000</v>
      </c>
      <c r="M85" s="43">
        <f t="shared" ref="M85:N85" si="2">M83+M84</f>
        <v>1000000</v>
      </c>
      <c r="N85" s="43">
        <f t="shared" si="2"/>
        <v>3000000</v>
      </c>
    </row>
    <row r="86" spans="2:15" ht="30" x14ac:dyDescent="0.45">
      <c r="B86" s="11" t="s">
        <v>67</v>
      </c>
      <c r="C86" s="84">
        <f>C59</f>
        <v>5.0000000000000001E-4</v>
      </c>
      <c r="K86" s="32" t="s">
        <v>75</v>
      </c>
      <c r="L86" s="69">
        <f>H59</f>
        <v>450000</v>
      </c>
      <c r="M86" s="69">
        <f>I59</f>
        <v>290000</v>
      </c>
      <c r="N86" s="69">
        <f>J59</f>
        <v>250000</v>
      </c>
      <c r="O86" s="5" t="s">
        <v>78</v>
      </c>
    </row>
    <row r="87" spans="2:15" ht="18.5" x14ac:dyDescent="0.45">
      <c r="B87" s="11" t="s">
        <v>66</v>
      </c>
      <c r="C87" s="46">
        <f>C83/C59</f>
        <v>0</v>
      </c>
      <c r="K87" s="32" t="s">
        <v>68</v>
      </c>
      <c r="L87" s="31">
        <f>L85/L86</f>
        <v>4.7222222222222223</v>
      </c>
      <c r="M87" s="31">
        <f t="shared" ref="M87:N87" si="3">M85/M86</f>
        <v>3.4482758620689653</v>
      </c>
      <c r="N87" s="31">
        <f t="shared" si="3"/>
        <v>12</v>
      </c>
      <c r="O87" s="4">
        <f>MIN(L87:N87)</f>
        <v>3.4482758620689653</v>
      </c>
    </row>
    <row r="88" spans="2:15" x14ac:dyDescent="0.35">
      <c r="I88" t="s">
        <v>61</v>
      </c>
      <c r="J88" s="1">
        <v>70</v>
      </c>
      <c r="K88" t="s">
        <v>53</v>
      </c>
      <c r="L88" s="45">
        <f>ROUND(IF(L87=$O87,$J88,$O87/L87*$J88),1)</f>
        <v>51.1</v>
      </c>
      <c r="M88" s="45">
        <f t="shared" ref="M88:N88" si="4">ROUND(IF(M87=$O87,$J88,$O87/M87*$J88),1)</f>
        <v>70</v>
      </c>
      <c r="N88" s="45">
        <f t="shared" si="4"/>
        <v>20.100000000000001</v>
      </c>
    </row>
    <row r="90" spans="2:15" ht="18.5" x14ac:dyDescent="0.45">
      <c r="B90" s="99" t="s">
        <v>187</v>
      </c>
      <c r="C90" s="10"/>
    </row>
    <row r="91" spans="2:15" ht="18.5" x14ac:dyDescent="0.45">
      <c r="B91" s="10" t="s">
        <v>188</v>
      </c>
      <c r="C91" s="10"/>
    </row>
    <row r="92" spans="2:15" ht="18.5" x14ac:dyDescent="0.45">
      <c r="B92" s="10" t="s">
        <v>190</v>
      </c>
      <c r="C92" s="10"/>
    </row>
    <row r="93" spans="2:15" ht="18.5" x14ac:dyDescent="0.45">
      <c r="B93" s="82" t="s">
        <v>189</v>
      </c>
      <c r="C93" s="82"/>
      <c r="D93" s="71"/>
      <c r="E93" s="71"/>
      <c r="F93" s="71"/>
      <c r="G93" s="71"/>
      <c r="H93" s="71"/>
    </row>
    <row r="94" spans="2:15" ht="18.5" x14ac:dyDescent="0.45">
      <c r="B94" s="10" t="s">
        <v>148</v>
      </c>
      <c r="C94" s="10"/>
    </row>
    <row r="95" spans="2:15" ht="72.5" x14ac:dyDescent="0.35">
      <c r="B95" s="11" t="s">
        <v>17</v>
      </c>
      <c r="C95" s="11" t="s">
        <v>16</v>
      </c>
      <c r="D95" s="11" t="s">
        <v>141</v>
      </c>
      <c r="E95" s="11" t="s">
        <v>140</v>
      </c>
      <c r="F95" s="11" t="s">
        <v>83</v>
      </c>
      <c r="G95" s="11" t="s">
        <v>84</v>
      </c>
      <c r="H95" s="11" t="s">
        <v>85</v>
      </c>
      <c r="I95" s="11" t="s">
        <v>86</v>
      </c>
      <c r="J95" s="12" t="s">
        <v>14</v>
      </c>
      <c r="K95" s="12" t="s">
        <v>12</v>
      </c>
      <c r="L95" s="47" t="s">
        <v>36</v>
      </c>
      <c r="M95" s="11" t="s">
        <v>35</v>
      </c>
      <c r="N95" s="11" t="s">
        <v>13</v>
      </c>
      <c r="O95" s="11" t="s">
        <v>15</v>
      </c>
    </row>
    <row r="96" spans="2:15" x14ac:dyDescent="0.35">
      <c r="B96" s="93"/>
      <c r="C96" s="94"/>
      <c r="D96" s="95"/>
      <c r="E96" s="95"/>
      <c r="F96" s="95"/>
      <c r="G96" s="95"/>
      <c r="H96" s="95"/>
      <c r="I96" s="95"/>
      <c r="J96" s="13">
        <f>F96*525+G96*52+H96*52+I96*8</f>
        <v>0</v>
      </c>
      <c r="K96" s="13">
        <f>E96*J96</f>
        <v>0</v>
      </c>
      <c r="L96" s="96"/>
      <c r="M96" s="97"/>
      <c r="N96" s="98"/>
      <c r="O96" s="14">
        <f>M96*N96</f>
        <v>0</v>
      </c>
    </row>
    <row r="97" spans="2:15" x14ac:dyDescent="0.35">
      <c r="B97" s="93"/>
      <c r="C97" s="94"/>
      <c r="D97" s="95"/>
      <c r="E97" s="95"/>
      <c r="F97" s="95"/>
      <c r="G97" s="95"/>
      <c r="H97" s="95"/>
      <c r="I97" s="95"/>
      <c r="J97" s="13">
        <f t="shared" ref="J97:J100" si="5">F97*525+G97*52+H97*52+I97*8</f>
        <v>0</v>
      </c>
      <c r="K97" s="13">
        <f t="shared" ref="K97:K100" si="6">E97*J97</f>
        <v>0</v>
      </c>
      <c r="L97" s="96"/>
      <c r="M97" s="97"/>
      <c r="N97" s="98"/>
      <c r="O97" s="14">
        <f t="shared" ref="O97:O100" si="7">M97*N97</f>
        <v>0</v>
      </c>
    </row>
    <row r="98" spans="2:15" x14ac:dyDescent="0.35">
      <c r="B98" s="93"/>
      <c r="C98" s="94"/>
      <c r="D98" s="95"/>
      <c r="E98" s="95"/>
      <c r="F98" s="95"/>
      <c r="G98" s="95"/>
      <c r="H98" s="95"/>
      <c r="I98" s="95"/>
      <c r="J98" s="13">
        <f t="shared" si="5"/>
        <v>0</v>
      </c>
      <c r="K98" s="13">
        <f t="shared" si="6"/>
        <v>0</v>
      </c>
      <c r="L98" s="96"/>
      <c r="M98" s="97"/>
      <c r="N98" s="98"/>
      <c r="O98" s="14">
        <f t="shared" si="7"/>
        <v>0</v>
      </c>
    </row>
    <row r="99" spans="2:15" x14ac:dyDescent="0.35">
      <c r="B99" s="93"/>
      <c r="C99" s="94"/>
      <c r="D99" s="95"/>
      <c r="E99" s="95"/>
      <c r="F99" s="95"/>
      <c r="G99" s="95"/>
      <c r="H99" s="95"/>
      <c r="I99" s="95"/>
      <c r="J99" s="13">
        <f t="shared" si="5"/>
        <v>0</v>
      </c>
      <c r="K99" s="13">
        <f t="shared" si="6"/>
        <v>0</v>
      </c>
      <c r="L99" s="96"/>
      <c r="M99" s="97"/>
      <c r="N99" s="98"/>
      <c r="O99" s="14">
        <f t="shared" si="7"/>
        <v>0</v>
      </c>
    </row>
    <row r="100" spans="2:15" x14ac:dyDescent="0.35">
      <c r="B100" s="93"/>
      <c r="C100" s="94"/>
      <c r="D100" s="95"/>
      <c r="E100" s="95"/>
      <c r="F100" s="95"/>
      <c r="G100" s="95"/>
      <c r="H100" s="95"/>
      <c r="I100" s="95"/>
      <c r="J100" s="13">
        <f t="shared" si="5"/>
        <v>0</v>
      </c>
      <c r="K100" s="13">
        <f t="shared" si="6"/>
        <v>0</v>
      </c>
      <c r="L100" s="96"/>
      <c r="M100" s="97"/>
      <c r="N100" s="98"/>
      <c r="O100" s="14">
        <f t="shared" si="7"/>
        <v>0</v>
      </c>
    </row>
    <row r="101" spans="2:15" x14ac:dyDescent="0.35">
      <c r="B101" s="93"/>
      <c r="C101" s="94"/>
      <c r="D101" s="95"/>
      <c r="E101" s="95"/>
      <c r="F101" s="95"/>
      <c r="G101" s="95"/>
      <c r="H101" s="95"/>
      <c r="I101" s="95"/>
      <c r="J101" s="13">
        <f>F101*525+G101*52+H101*52+I101*8</f>
        <v>0</v>
      </c>
      <c r="K101" s="13">
        <f>E101*J101</f>
        <v>0</v>
      </c>
      <c r="L101" s="96"/>
      <c r="M101" s="97"/>
      <c r="N101" s="98"/>
      <c r="O101" s="14">
        <f>M101*N101</f>
        <v>0</v>
      </c>
    </row>
    <row r="102" spans="2:15" x14ac:dyDescent="0.35">
      <c r="B102" s="93"/>
      <c r="C102" s="94"/>
      <c r="D102" s="95"/>
      <c r="E102" s="95"/>
      <c r="F102" s="95"/>
      <c r="G102" s="95"/>
      <c r="H102" s="95"/>
      <c r="I102" s="95"/>
      <c r="J102" s="13">
        <f t="shared" ref="J102:J105" si="8">F102*525+G102*52+H102*52+I102*8</f>
        <v>0</v>
      </c>
      <c r="K102" s="13">
        <f t="shared" ref="K102:K105" si="9">E102*J102</f>
        <v>0</v>
      </c>
      <c r="L102" s="96"/>
      <c r="M102" s="97"/>
      <c r="N102" s="98"/>
      <c r="O102" s="14">
        <f t="shared" ref="O102:O105" si="10">M102*N102</f>
        <v>0</v>
      </c>
    </row>
    <row r="103" spans="2:15" x14ac:dyDescent="0.35">
      <c r="B103" s="93"/>
      <c r="C103" s="94"/>
      <c r="D103" s="95"/>
      <c r="E103" s="95"/>
      <c r="F103" s="95"/>
      <c r="G103" s="95"/>
      <c r="H103" s="95"/>
      <c r="I103" s="95"/>
      <c r="J103" s="13">
        <f t="shared" si="8"/>
        <v>0</v>
      </c>
      <c r="K103" s="13">
        <f t="shared" si="9"/>
        <v>0</v>
      </c>
      <c r="L103" s="96"/>
      <c r="M103" s="97"/>
      <c r="N103" s="98"/>
      <c r="O103" s="14">
        <f t="shared" si="10"/>
        <v>0</v>
      </c>
    </row>
    <row r="104" spans="2:15" x14ac:dyDescent="0.35">
      <c r="B104" s="93"/>
      <c r="C104" s="94"/>
      <c r="D104" s="95"/>
      <c r="E104" s="95"/>
      <c r="F104" s="95"/>
      <c r="G104" s="95"/>
      <c r="H104" s="95"/>
      <c r="I104" s="95"/>
      <c r="J104" s="13">
        <f t="shared" si="8"/>
        <v>0</v>
      </c>
      <c r="K104" s="13">
        <f t="shared" si="9"/>
        <v>0</v>
      </c>
      <c r="L104" s="96"/>
      <c r="M104" s="97"/>
      <c r="N104" s="98"/>
      <c r="O104" s="14">
        <f t="shared" si="10"/>
        <v>0</v>
      </c>
    </row>
    <row r="105" spans="2:15" x14ac:dyDescent="0.35">
      <c r="B105" s="93"/>
      <c r="C105" s="94"/>
      <c r="D105" s="95"/>
      <c r="E105" s="95"/>
      <c r="F105" s="95"/>
      <c r="G105" s="95"/>
      <c r="H105" s="95"/>
      <c r="I105" s="95"/>
      <c r="J105" s="13">
        <f t="shared" si="8"/>
        <v>0</v>
      </c>
      <c r="K105" s="13">
        <f t="shared" si="9"/>
        <v>0</v>
      </c>
      <c r="L105" s="96"/>
      <c r="M105" s="97"/>
      <c r="N105" s="98"/>
      <c r="O105" s="14">
        <f t="shared" si="10"/>
        <v>0</v>
      </c>
    </row>
    <row r="106" spans="2:15" ht="18.5" x14ac:dyDescent="0.45">
      <c r="C106" s="10"/>
    </row>
    <row r="108" spans="2:15" ht="23.5" x14ac:dyDescent="0.55000000000000004">
      <c r="B108" s="15" t="s">
        <v>79</v>
      </c>
    </row>
    <row r="109" spans="2:15" x14ac:dyDescent="0.35">
      <c r="H109" s="30" t="s">
        <v>133</v>
      </c>
    </row>
    <row r="110" spans="2:15" x14ac:dyDescent="0.35">
      <c r="H110" s="52">
        <v>10</v>
      </c>
      <c r="I110" t="s">
        <v>88</v>
      </c>
    </row>
    <row r="111" spans="2:15" x14ac:dyDescent="0.35">
      <c r="H111" s="107" t="s">
        <v>128</v>
      </c>
      <c r="I111" s="108"/>
      <c r="J111" s="109"/>
    </row>
    <row r="112" spans="2:15" ht="14.4" customHeight="1" x14ac:dyDescent="0.35">
      <c r="B112" t="s">
        <v>116</v>
      </c>
      <c r="H112" s="72" t="s">
        <v>63</v>
      </c>
      <c r="I112" s="72" t="s">
        <v>64</v>
      </c>
      <c r="J112" s="72" t="s">
        <v>65</v>
      </c>
    </row>
    <row r="113" spans="1:15" x14ac:dyDescent="0.35">
      <c r="H113" s="6" t="s">
        <v>1</v>
      </c>
      <c r="I113" s="6" t="s">
        <v>3</v>
      </c>
      <c r="J113" s="6" t="s">
        <v>195</v>
      </c>
      <c r="K113" s="1" t="s">
        <v>96</v>
      </c>
    </row>
    <row r="114" spans="1:15" x14ac:dyDescent="0.35">
      <c r="B114" t="s">
        <v>28</v>
      </c>
      <c r="H114" s="52">
        <v>10</v>
      </c>
      <c r="I114" s="52">
        <v>2</v>
      </c>
      <c r="J114" s="52">
        <v>0</v>
      </c>
      <c r="K114" s="1" t="s">
        <v>90</v>
      </c>
    </row>
    <row r="115" spans="1:15" x14ac:dyDescent="0.35">
      <c r="A115" s="17"/>
      <c r="B115" s="16"/>
      <c r="C115" t="s">
        <v>117</v>
      </c>
    </row>
    <row r="116" spans="1:15" x14ac:dyDescent="0.35">
      <c r="C116" t="s">
        <v>121</v>
      </c>
    </row>
    <row r="117" spans="1:15" ht="46.75" customHeight="1" x14ac:dyDescent="0.35">
      <c r="C117" s="102"/>
      <c r="D117" s="102"/>
      <c r="E117" s="102"/>
      <c r="F117" s="102"/>
      <c r="G117" s="102"/>
      <c r="H117" s="102"/>
      <c r="I117" s="102"/>
      <c r="J117" s="102"/>
      <c r="K117" s="102"/>
      <c r="L117" s="102"/>
      <c r="M117" s="102"/>
      <c r="N117" s="102"/>
      <c r="O117" s="102"/>
    </row>
    <row r="119" spans="1:15" x14ac:dyDescent="0.35">
      <c r="A119" s="17"/>
      <c r="B119" s="16"/>
      <c r="C119" t="s">
        <v>132</v>
      </c>
    </row>
    <row r="120" spans="1:15" x14ac:dyDescent="0.35">
      <c r="C120" t="s">
        <v>29</v>
      </c>
    </row>
    <row r="121" spans="1:15" ht="43.25" customHeight="1" x14ac:dyDescent="0.35">
      <c r="C121" s="102"/>
      <c r="D121" s="102"/>
      <c r="E121" s="102"/>
      <c r="F121" s="102"/>
      <c r="G121" s="102"/>
      <c r="H121" s="102"/>
      <c r="I121" s="102"/>
      <c r="J121" s="102"/>
      <c r="K121" s="102"/>
      <c r="L121" s="102"/>
      <c r="M121" s="102"/>
      <c r="N121" s="102"/>
      <c r="O121" s="102"/>
    </row>
    <row r="122" spans="1:15" x14ac:dyDescent="0.35">
      <c r="C122" t="s">
        <v>27</v>
      </c>
    </row>
    <row r="123" spans="1:15" ht="43.75" customHeight="1" x14ac:dyDescent="0.35">
      <c r="C123" s="102"/>
      <c r="D123" s="102"/>
      <c r="E123" s="102"/>
      <c r="F123" s="102"/>
      <c r="G123" s="102"/>
      <c r="H123" s="102"/>
      <c r="I123" s="102"/>
      <c r="J123" s="102"/>
      <c r="K123" s="102"/>
      <c r="L123" s="102"/>
      <c r="M123" s="102"/>
      <c r="N123" s="102"/>
      <c r="O123" s="102"/>
    </row>
    <row r="125" spans="1:15" x14ac:dyDescent="0.35">
      <c r="A125" s="17"/>
      <c r="B125" s="16"/>
      <c r="C125" t="s">
        <v>131</v>
      </c>
    </row>
    <row r="126" spans="1:15" x14ac:dyDescent="0.35">
      <c r="C126" t="s">
        <v>30</v>
      </c>
    </row>
    <row r="127" spans="1:15" ht="43.25" customHeight="1" x14ac:dyDescent="0.35">
      <c r="C127" s="102"/>
      <c r="D127" s="102"/>
      <c r="E127" s="102"/>
      <c r="F127" s="102"/>
      <c r="G127" s="102"/>
      <c r="H127" s="102"/>
      <c r="I127" s="102"/>
      <c r="J127" s="102"/>
      <c r="K127" s="102"/>
      <c r="L127" s="102"/>
      <c r="M127" s="102"/>
      <c r="N127" s="102"/>
      <c r="O127" s="102"/>
    </row>
    <row r="128" spans="1:15" x14ac:dyDescent="0.35">
      <c r="C128" t="s">
        <v>27</v>
      </c>
    </row>
    <row r="129" spans="1:15" ht="43.75" customHeight="1" x14ac:dyDescent="0.35">
      <c r="C129" s="102"/>
      <c r="D129" s="102"/>
      <c r="E129" s="102"/>
      <c r="F129" s="102"/>
      <c r="G129" s="102"/>
      <c r="H129" s="102"/>
      <c r="I129" s="102"/>
      <c r="J129" s="102"/>
      <c r="K129" s="102"/>
      <c r="L129" s="102"/>
      <c r="M129" s="102"/>
      <c r="N129" s="102"/>
      <c r="O129" s="102"/>
    </row>
    <row r="131" spans="1:15" x14ac:dyDescent="0.35">
      <c r="A131" s="17"/>
      <c r="B131" s="100" t="s">
        <v>191</v>
      </c>
      <c r="C131" s="71"/>
      <c r="D131" s="71"/>
      <c r="E131" s="71"/>
      <c r="F131" s="71"/>
      <c r="G131" s="71"/>
      <c r="H131" s="71"/>
      <c r="I131" s="71"/>
      <c r="J131" s="71"/>
      <c r="K131" s="71"/>
      <c r="L131" s="71"/>
      <c r="M131" s="71"/>
      <c r="N131" s="71"/>
    </row>
    <row r="132" spans="1:15" x14ac:dyDescent="0.35">
      <c r="K132" s="20"/>
      <c r="L132" s="20"/>
      <c r="M132" s="20"/>
    </row>
    <row r="133" spans="1:15" ht="23.5" x14ac:dyDescent="0.55000000000000004">
      <c r="B133" s="15" t="s">
        <v>80</v>
      </c>
    </row>
    <row r="135" spans="1:15" x14ac:dyDescent="0.35">
      <c r="B135" t="s">
        <v>97</v>
      </c>
    </row>
    <row r="137" spans="1:15" x14ac:dyDescent="0.35">
      <c r="A137" s="17"/>
      <c r="B137" s="16"/>
      <c r="C137" t="s">
        <v>118</v>
      </c>
      <c r="H137" s="30" t="s">
        <v>130</v>
      </c>
    </row>
    <row r="138" spans="1:15" x14ac:dyDescent="0.35">
      <c r="C138" t="s">
        <v>31</v>
      </c>
      <c r="H138" s="52">
        <v>6</v>
      </c>
      <c r="I138" t="s">
        <v>88</v>
      </c>
    </row>
    <row r="139" spans="1:15" x14ac:dyDescent="0.35">
      <c r="D139" s="16"/>
      <c r="E139" t="s">
        <v>82</v>
      </c>
      <c r="H139" s="107" t="s">
        <v>128</v>
      </c>
      <c r="I139" s="108"/>
      <c r="J139" s="109"/>
    </row>
    <row r="140" spans="1:15" x14ac:dyDescent="0.35">
      <c r="H140" s="72" t="s">
        <v>63</v>
      </c>
      <c r="I140" s="72" t="s">
        <v>64</v>
      </c>
      <c r="J140" s="72" t="s">
        <v>65</v>
      </c>
    </row>
    <row r="141" spans="1:15" x14ac:dyDescent="0.35">
      <c r="A141" s="17"/>
      <c r="B141" s="16"/>
      <c r="C141" t="s">
        <v>119</v>
      </c>
      <c r="H141" s="6" t="s">
        <v>3</v>
      </c>
      <c r="I141" s="6" t="s">
        <v>2</v>
      </c>
      <c r="J141" s="6" t="s">
        <v>1</v>
      </c>
      <c r="K141" s="1" t="s">
        <v>96</v>
      </c>
    </row>
    <row r="142" spans="1:15" x14ac:dyDescent="0.35">
      <c r="C142" t="s">
        <v>32</v>
      </c>
      <c r="H142" s="52">
        <v>0</v>
      </c>
      <c r="I142" s="52">
        <v>4</v>
      </c>
      <c r="J142" s="52">
        <v>6</v>
      </c>
      <c r="K142" s="1" t="s">
        <v>129</v>
      </c>
    </row>
    <row r="143" spans="1:15" x14ac:dyDescent="0.35">
      <c r="C143" s="16"/>
      <c r="D143" t="s">
        <v>33</v>
      </c>
    </row>
    <row r="144" spans="1:15" x14ac:dyDescent="0.35">
      <c r="C144" t="s">
        <v>31</v>
      </c>
    </row>
    <row r="145" spans="1:14" x14ac:dyDescent="0.35">
      <c r="D145" s="16"/>
      <c r="E145" t="s">
        <v>82</v>
      </c>
    </row>
    <row r="147" spans="1:14" x14ac:dyDescent="0.35">
      <c r="A147" s="17"/>
      <c r="B147" s="16"/>
      <c r="C147" t="s">
        <v>120</v>
      </c>
    </row>
    <row r="149" spans="1:14" x14ac:dyDescent="0.35">
      <c r="B149" t="s">
        <v>34</v>
      </c>
    </row>
    <row r="150" spans="1:14" ht="43.75" customHeight="1" x14ac:dyDescent="0.35">
      <c r="B150" s="102"/>
      <c r="C150" s="102"/>
      <c r="D150" s="102"/>
      <c r="E150" s="102"/>
      <c r="F150" s="102"/>
      <c r="G150" s="102"/>
      <c r="H150" s="102"/>
      <c r="I150" s="102"/>
      <c r="J150" s="102"/>
      <c r="K150" s="102"/>
      <c r="L150" s="102"/>
      <c r="M150" s="102"/>
      <c r="N150" s="102"/>
    </row>
    <row r="152" spans="1:14" ht="23.5" x14ac:dyDescent="0.55000000000000004">
      <c r="B152" s="15" t="s">
        <v>81</v>
      </c>
    </row>
    <row r="154" spans="1:14" x14ac:dyDescent="0.35">
      <c r="B154" t="s">
        <v>123</v>
      </c>
    </row>
    <row r="156" spans="1:14" x14ac:dyDescent="0.35">
      <c r="B156" s="16"/>
      <c r="C156" t="s">
        <v>98</v>
      </c>
    </row>
    <row r="158" spans="1:14" x14ac:dyDescent="0.35">
      <c r="B158" t="s">
        <v>56</v>
      </c>
    </row>
    <row r="159" spans="1:14" ht="42" customHeight="1" x14ac:dyDescent="0.35">
      <c r="B159" s="102"/>
      <c r="C159" s="102"/>
      <c r="D159" s="102"/>
      <c r="E159" s="102"/>
      <c r="F159" s="102"/>
      <c r="G159" s="102"/>
      <c r="H159" s="102"/>
      <c r="I159" s="102"/>
      <c r="J159" s="102"/>
      <c r="K159" s="102"/>
      <c r="L159" s="102"/>
      <c r="M159" s="102"/>
      <c r="N159" s="102"/>
    </row>
    <row r="161" spans="7:11" x14ac:dyDescent="0.35">
      <c r="H161" s="30" t="s">
        <v>124</v>
      </c>
    </row>
    <row r="162" spans="7:11" x14ac:dyDescent="0.35">
      <c r="H162" s="52">
        <v>4</v>
      </c>
      <c r="I162" t="s">
        <v>88</v>
      </c>
    </row>
    <row r="163" spans="7:11" ht="46.25" customHeight="1" x14ac:dyDescent="0.35">
      <c r="H163" s="107" t="s">
        <v>164</v>
      </c>
      <c r="I163" s="108"/>
      <c r="J163" s="109"/>
    </row>
    <row r="164" spans="7:11" x14ac:dyDescent="0.35">
      <c r="G164" s="20"/>
      <c r="H164" s="6" t="s">
        <v>63</v>
      </c>
      <c r="I164" s="6" t="s">
        <v>64</v>
      </c>
      <c r="J164" s="6" t="s">
        <v>65</v>
      </c>
    </row>
    <row r="165" spans="7:11" x14ac:dyDescent="0.35">
      <c r="G165" s="32"/>
      <c r="H165" s="33">
        <v>25000</v>
      </c>
      <c r="I165" s="33">
        <v>15000</v>
      </c>
      <c r="J165" s="33">
        <v>20000</v>
      </c>
      <c r="K165" t="s">
        <v>165</v>
      </c>
    </row>
    <row r="166" spans="7:11" x14ac:dyDescent="0.35">
      <c r="G166" s="32"/>
      <c r="H166" s="52">
        <f>ROUND((H165/MAX($H165:$J165))*$H162,1)</f>
        <v>4</v>
      </c>
      <c r="I166" s="52">
        <f>ROUND((I165/MAX($H165:$J165))*$H162,1)</f>
        <v>2.4</v>
      </c>
      <c r="J166" s="52">
        <f>ROUND((J165/MAX($H165:$J165))*$H162,1)</f>
        <v>3.2</v>
      </c>
      <c r="K166" t="s">
        <v>99</v>
      </c>
    </row>
  </sheetData>
  <mergeCells count="18">
    <mergeCell ref="H139:J139"/>
    <mergeCell ref="H111:J111"/>
    <mergeCell ref="H163:J163"/>
    <mergeCell ref="B150:N150"/>
    <mergeCell ref="B159:N159"/>
    <mergeCell ref="B7:F7"/>
    <mergeCell ref="B9:F9"/>
    <mergeCell ref="B11:F11"/>
    <mergeCell ref="B13:F13"/>
    <mergeCell ref="B15:F15"/>
    <mergeCell ref="B17:F17"/>
    <mergeCell ref="C121:O121"/>
    <mergeCell ref="C123:O123"/>
    <mergeCell ref="C127:O127"/>
    <mergeCell ref="C129:O129"/>
    <mergeCell ref="B77:D78"/>
    <mergeCell ref="B74:I74"/>
    <mergeCell ref="C117:O117"/>
  </mergeCells>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F215E-D79F-49F6-BD5C-9FE141BCC615}">
  <dimension ref="B2:S101"/>
  <sheetViews>
    <sheetView topLeftCell="A46" workbookViewId="0">
      <selection activeCell="B2" sqref="B2"/>
    </sheetView>
  </sheetViews>
  <sheetFormatPr defaultRowHeight="14.5" x14ac:dyDescent="0.35"/>
  <cols>
    <col min="3" max="3" width="15.54296875" bestFit="1" customWidth="1"/>
    <col min="4" max="6" width="13.90625" bestFit="1" customWidth="1"/>
  </cols>
  <sheetData>
    <row r="2" spans="2:19" ht="18.5" x14ac:dyDescent="0.45">
      <c r="B2" s="10" t="s">
        <v>149</v>
      </c>
    </row>
    <row r="5" spans="2:19" ht="31" x14ac:dyDescent="0.7">
      <c r="B5" s="15" t="s">
        <v>11</v>
      </c>
      <c r="I5" s="70"/>
      <c r="J5" s="70"/>
      <c r="K5" s="70"/>
      <c r="L5" s="70"/>
      <c r="M5" s="70"/>
      <c r="N5" s="70"/>
      <c r="O5" s="70"/>
      <c r="P5" s="70"/>
      <c r="Q5" s="70"/>
      <c r="R5" s="70"/>
      <c r="S5" s="71"/>
    </row>
    <row r="7" spans="2:19" x14ac:dyDescent="0.35">
      <c r="C7" s="6" t="s">
        <v>63</v>
      </c>
      <c r="D7" s="6" t="s">
        <v>64</v>
      </c>
      <c r="E7" s="6" t="s">
        <v>65</v>
      </c>
    </row>
    <row r="8" spans="2:19" ht="15.5" x14ac:dyDescent="0.35">
      <c r="C8" s="51" t="s">
        <v>114</v>
      </c>
      <c r="D8" s="51" t="s">
        <v>114</v>
      </c>
      <c r="E8" s="51" t="s">
        <v>114</v>
      </c>
      <c r="F8" s="7" t="s">
        <v>112</v>
      </c>
    </row>
    <row r="9" spans="2:19" ht="15.5" x14ac:dyDescent="0.35">
      <c r="C9" s="51" t="s">
        <v>114</v>
      </c>
      <c r="D9" s="51" t="s">
        <v>114</v>
      </c>
      <c r="E9" s="51" t="s">
        <v>114</v>
      </c>
      <c r="F9" s="7" t="s">
        <v>113</v>
      </c>
    </row>
    <row r="10" spans="2:19" x14ac:dyDescent="0.35">
      <c r="C10" s="21">
        <f>IF(AND(C8="Y",C9="Y"),1,0)</f>
        <v>1</v>
      </c>
      <c r="D10" s="21">
        <f t="shared" ref="D10:E10" si="0">IF(AND(D8="Y",D9="Y"),1,0)</f>
        <v>1</v>
      </c>
      <c r="E10" s="21">
        <f t="shared" si="0"/>
        <v>1</v>
      </c>
    </row>
    <row r="13" spans="2:19" ht="23.5" x14ac:dyDescent="0.55000000000000004">
      <c r="B13" s="15" t="s">
        <v>72</v>
      </c>
    </row>
    <row r="15" spans="2:19" x14ac:dyDescent="0.35">
      <c r="B15" s="61">
        <v>10</v>
      </c>
      <c r="C15" t="s">
        <v>88</v>
      </c>
    </row>
    <row r="17" spans="2:6" x14ac:dyDescent="0.35">
      <c r="C17" s="24"/>
      <c r="D17" s="25" t="s">
        <v>73</v>
      </c>
      <c r="E17" s="26"/>
    </row>
    <row r="18" spans="2:6" x14ac:dyDescent="0.35">
      <c r="B18" s="20"/>
      <c r="C18" s="6" t="s">
        <v>63</v>
      </c>
      <c r="D18" s="6" t="s">
        <v>64</v>
      </c>
      <c r="E18" s="6" t="s">
        <v>65</v>
      </c>
    </row>
    <row r="19" spans="2:6" x14ac:dyDescent="0.35">
      <c r="B19" s="20"/>
      <c r="C19" s="51">
        <v>0</v>
      </c>
      <c r="D19" s="51">
        <v>0</v>
      </c>
      <c r="E19" s="51">
        <v>120000</v>
      </c>
    </row>
    <row r="20" spans="2:6" x14ac:dyDescent="0.35">
      <c r="B20" s="20"/>
      <c r="C20" s="51">
        <v>0</v>
      </c>
      <c r="D20" s="51">
        <v>200000</v>
      </c>
      <c r="E20" s="51">
        <v>150000</v>
      </c>
    </row>
    <row r="21" spans="2:6" x14ac:dyDescent="0.35">
      <c r="B21" s="20"/>
      <c r="C21" s="51">
        <v>0</v>
      </c>
      <c r="D21" s="51">
        <v>200000</v>
      </c>
      <c r="E21" s="51">
        <v>0</v>
      </c>
    </row>
    <row r="22" spans="2:6" x14ac:dyDescent="0.35">
      <c r="B22" s="20"/>
      <c r="C22" s="51">
        <v>90000</v>
      </c>
      <c r="D22" s="51">
        <v>0</v>
      </c>
      <c r="E22" s="51">
        <v>0</v>
      </c>
    </row>
    <row r="23" spans="2:6" x14ac:dyDescent="0.35">
      <c r="B23" s="20"/>
      <c r="C23" s="51">
        <v>40000</v>
      </c>
      <c r="D23" s="51">
        <v>0</v>
      </c>
      <c r="E23" s="51">
        <v>40000</v>
      </c>
    </row>
    <row r="24" spans="2:6" x14ac:dyDescent="0.35">
      <c r="B24" s="20"/>
      <c r="C24" s="51">
        <v>400000</v>
      </c>
      <c r="D24" s="51">
        <v>200000</v>
      </c>
      <c r="E24" s="51">
        <v>180000</v>
      </c>
    </row>
    <row r="25" spans="2:6" x14ac:dyDescent="0.35">
      <c r="B25" s="32"/>
      <c r="C25" s="21">
        <f>SUM(C19:C24)</f>
        <v>530000</v>
      </c>
      <c r="D25" s="21">
        <f>SUM(D19:D24)</f>
        <v>600000</v>
      </c>
      <c r="E25" s="21">
        <f>SUM(E19:E24)</f>
        <v>490000</v>
      </c>
      <c r="F25" t="s">
        <v>89</v>
      </c>
    </row>
    <row r="26" spans="2:6" x14ac:dyDescent="0.35">
      <c r="B26" s="32"/>
      <c r="C26" s="53">
        <f>ROUND((C25/MAX($C25:$E25))*$B15,1)</f>
        <v>8.8000000000000007</v>
      </c>
      <c r="D26" s="53">
        <f t="shared" ref="D26:E26" si="1">ROUND((D25/MAX($C25:$E25))*$B15,1)</f>
        <v>10</v>
      </c>
      <c r="E26" s="53">
        <f t="shared" si="1"/>
        <v>8.1999999999999993</v>
      </c>
      <c r="F26" t="s">
        <v>90</v>
      </c>
    </row>
    <row r="29" spans="2:6" ht="23.5" x14ac:dyDescent="0.55000000000000004">
      <c r="B29" s="15" t="s">
        <v>26</v>
      </c>
    </row>
    <row r="31" spans="2:6" x14ac:dyDescent="0.35">
      <c r="C31" s="24"/>
      <c r="D31" s="35" t="s">
        <v>11</v>
      </c>
      <c r="E31" s="26"/>
    </row>
    <row r="32" spans="2:6" x14ac:dyDescent="0.35">
      <c r="C32" s="6" t="s">
        <v>63</v>
      </c>
      <c r="D32" s="6" t="s">
        <v>64</v>
      </c>
      <c r="E32" s="6" t="s">
        <v>65</v>
      </c>
    </row>
    <row r="33" spans="2:9" x14ac:dyDescent="0.35">
      <c r="C33" s="51" t="s">
        <v>114</v>
      </c>
      <c r="D33" s="51" t="s">
        <v>114</v>
      </c>
      <c r="E33" s="51" t="s">
        <v>114</v>
      </c>
      <c r="F33" s="9" t="s">
        <v>115</v>
      </c>
    </row>
    <row r="34" spans="2:9" x14ac:dyDescent="0.35">
      <c r="C34" s="21">
        <f>IF(C33="Y",1,0)</f>
        <v>1</v>
      </c>
      <c r="D34" s="21">
        <f t="shared" ref="D34:E34" si="2">IF(D33="Y",1,0)</f>
        <v>1</v>
      </c>
      <c r="E34" s="21">
        <f t="shared" si="2"/>
        <v>1</v>
      </c>
    </row>
    <row r="36" spans="2:9" x14ac:dyDescent="0.35">
      <c r="B36" s="61">
        <v>70</v>
      </c>
      <c r="C36" t="s">
        <v>88</v>
      </c>
    </row>
    <row r="38" spans="2:9" x14ac:dyDescent="0.35">
      <c r="C38" s="6" t="s">
        <v>63</v>
      </c>
      <c r="D38" s="6" t="s">
        <v>64</v>
      </c>
      <c r="E38" s="6" t="s">
        <v>65</v>
      </c>
    </row>
    <row r="39" spans="2:9" x14ac:dyDescent="0.35">
      <c r="C39" s="58">
        <v>2000000</v>
      </c>
      <c r="D39" s="58">
        <v>1000000</v>
      </c>
      <c r="E39" s="58">
        <v>3000000</v>
      </c>
      <c r="F39" t="s">
        <v>134</v>
      </c>
      <c r="I39" s="54"/>
    </row>
    <row r="40" spans="2:9" x14ac:dyDescent="0.35">
      <c r="C40" s="58">
        <v>125000</v>
      </c>
      <c r="D40" s="58">
        <v>0</v>
      </c>
      <c r="E40" s="58">
        <v>0</v>
      </c>
      <c r="F40" t="s">
        <v>92</v>
      </c>
      <c r="I40" s="54"/>
    </row>
    <row r="41" spans="2:9" x14ac:dyDescent="0.35">
      <c r="C41" s="58">
        <f>C39+C40</f>
        <v>2125000</v>
      </c>
      <c r="D41" s="58">
        <f t="shared" ref="D41:E41" si="3">D39+D40</f>
        <v>1000000</v>
      </c>
      <c r="E41" s="58">
        <f t="shared" si="3"/>
        <v>3000000</v>
      </c>
      <c r="F41" t="s">
        <v>93</v>
      </c>
      <c r="I41" s="54"/>
    </row>
    <row r="42" spans="2:9" x14ac:dyDescent="0.35">
      <c r="B42" s="5" t="s">
        <v>78</v>
      </c>
      <c r="C42" s="59">
        <v>450000</v>
      </c>
      <c r="D42" s="59">
        <v>290000</v>
      </c>
      <c r="E42" s="59">
        <v>250000</v>
      </c>
      <c r="F42" s="54" t="s">
        <v>67</v>
      </c>
    </row>
    <row r="43" spans="2:9" x14ac:dyDescent="0.35">
      <c r="B43" s="62">
        <f>MIN(C43:E43)</f>
        <v>3.4482758620689653</v>
      </c>
      <c r="C43" s="31">
        <f>IF(C34=1,C41/C42,"N")</f>
        <v>4.7222222222222223</v>
      </c>
      <c r="D43" s="31">
        <f t="shared" ref="D43:E43" si="4">IF(D34=1,D41/D42,"N")</f>
        <v>3.4482758620689653</v>
      </c>
      <c r="E43" s="31">
        <f t="shared" si="4"/>
        <v>12</v>
      </c>
      <c r="F43" s="54" t="s">
        <v>95</v>
      </c>
    </row>
    <row r="44" spans="2:9" x14ac:dyDescent="0.35">
      <c r="C44" s="60">
        <f>IF(C43="N",0,ROUND(IF(C43=$B43,$B36,$B43/C43*$B36),1))</f>
        <v>51.1</v>
      </c>
      <c r="D44" s="60">
        <f t="shared" ref="D44:E44" si="5">IF(D43="N",0,ROUND(IF(D43=$B43,$B36,$B43/D43*$B36),1))</f>
        <v>70</v>
      </c>
      <c r="E44" s="60">
        <f t="shared" si="5"/>
        <v>20.100000000000001</v>
      </c>
      <c r="F44" t="s">
        <v>94</v>
      </c>
      <c r="I44" s="54"/>
    </row>
    <row r="47" spans="2:9" ht="23.5" x14ac:dyDescent="0.55000000000000004">
      <c r="B47" s="15" t="s">
        <v>79</v>
      </c>
    </row>
    <row r="50" spans="2:8" x14ac:dyDescent="0.35">
      <c r="B50" s="61">
        <v>10</v>
      </c>
      <c r="C50" t="s">
        <v>88</v>
      </c>
      <c r="G50" s="1" t="s">
        <v>96</v>
      </c>
      <c r="H50" s="1" t="s">
        <v>73</v>
      </c>
    </row>
    <row r="51" spans="2:8" x14ac:dyDescent="0.35">
      <c r="G51" s="6" t="s">
        <v>1</v>
      </c>
      <c r="H51" s="1">
        <v>10</v>
      </c>
    </row>
    <row r="52" spans="2:8" x14ac:dyDescent="0.35">
      <c r="C52" s="6" t="s">
        <v>63</v>
      </c>
      <c r="D52" s="6" t="s">
        <v>64</v>
      </c>
      <c r="E52" s="6" t="s">
        <v>65</v>
      </c>
      <c r="G52" s="21" t="s">
        <v>2</v>
      </c>
      <c r="H52" s="1">
        <v>6</v>
      </c>
    </row>
    <row r="53" spans="2:8" x14ac:dyDescent="0.35">
      <c r="C53" s="51" t="s">
        <v>1</v>
      </c>
      <c r="D53" s="51" t="s">
        <v>3</v>
      </c>
      <c r="E53" s="51" t="s">
        <v>4</v>
      </c>
      <c r="G53" s="6" t="s">
        <v>3</v>
      </c>
      <c r="H53" s="1">
        <v>2</v>
      </c>
    </row>
    <row r="54" spans="2:8" x14ac:dyDescent="0.35">
      <c r="C54" s="63">
        <f>VLOOKUP(C53,$G$51:$H$54,2,FALSE)</f>
        <v>10</v>
      </c>
      <c r="D54" s="63">
        <f t="shared" ref="D54:E54" si="6">VLOOKUP(D53,$G$51:$H$54,2,FALSE)</f>
        <v>2</v>
      </c>
      <c r="E54" s="63">
        <f t="shared" si="6"/>
        <v>0</v>
      </c>
      <c r="G54" s="6" t="s">
        <v>4</v>
      </c>
      <c r="H54" s="1">
        <v>0</v>
      </c>
    </row>
    <row r="57" spans="2:8" ht="23.5" x14ac:dyDescent="0.55000000000000004">
      <c r="B57" s="15" t="s">
        <v>80</v>
      </c>
    </row>
    <row r="59" spans="2:8" x14ac:dyDescent="0.35">
      <c r="C59" s="24"/>
      <c r="D59" s="35" t="s">
        <v>11</v>
      </c>
      <c r="E59" s="26"/>
    </row>
    <row r="60" spans="2:8" x14ac:dyDescent="0.35">
      <c r="C60" s="6" t="s">
        <v>63</v>
      </c>
      <c r="D60" s="6" t="s">
        <v>64</v>
      </c>
      <c r="E60" s="6" t="s">
        <v>65</v>
      </c>
    </row>
    <row r="61" spans="2:8" x14ac:dyDescent="0.35">
      <c r="C61" s="51" t="s">
        <v>114</v>
      </c>
      <c r="D61" s="51" t="s">
        <v>114</v>
      </c>
      <c r="E61" s="51" t="s">
        <v>114</v>
      </c>
      <c r="F61" s="67" t="s">
        <v>122</v>
      </c>
    </row>
    <row r="62" spans="2:8" x14ac:dyDescent="0.35">
      <c r="C62" s="21">
        <f>IF(C61="Y",1,0)</f>
        <v>1</v>
      </c>
      <c r="D62" s="21">
        <f t="shared" ref="D62" si="7">IF(D61="Y",1,0)</f>
        <v>1</v>
      </c>
      <c r="E62" s="21">
        <f t="shared" ref="E62" si="8">IF(E61="Y",1,0)</f>
        <v>1</v>
      </c>
    </row>
    <row r="65" spans="2:8" x14ac:dyDescent="0.35">
      <c r="B65" s="61">
        <v>6</v>
      </c>
      <c r="C65" t="s">
        <v>88</v>
      </c>
    </row>
    <row r="66" spans="2:8" x14ac:dyDescent="0.35">
      <c r="G66" s="1" t="s">
        <v>96</v>
      </c>
      <c r="H66" s="1" t="s">
        <v>73</v>
      </c>
    </row>
    <row r="67" spans="2:8" x14ac:dyDescent="0.35">
      <c r="C67" s="6" t="s">
        <v>63</v>
      </c>
      <c r="D67" s="6" t="s">
        <v>64</v>
      </c>
      <c r="E67" s="6" t="s">
        <v>65</v>
      </c>
      <c r="G67" s="6" t="s">
        <v>1</v>
      </c>
      <c r="H67" s="1">
        <v>6</v>
      </c>
    </row>
    <row r="68" spans="2:8" x14ac:dyDescent="0.35">
      <c r="C68" s="51" t="s">
        <v>3</v>
      </c>
      <c r="D68" s="51" t="s">
        <v>2</v>
      </c>
      <c r="E68" s="51" t="s">
        <v>1</v>
      </c>
      <c r="G68" s="21" t="s">
        <v>2</v>
      </c>
      <c r="H68" s="1">
        <v>4</v>
      </c>
    </row>
    <row r="69" spans="2:8" x14ac:dyDescent="0.35">
      <c r="C69" s="63">
        <f>IF(C62=1,VLOOKUP(C68,$G$67:$H$69,2,FALSE),0)</f>
        <v>0</v>
      </c>
      <c r="D69" s="63">
        <f t="shared" ref="D69:E69" si="9">IF(D62=1,VLOOKUP(D68,$G$67:$H$69,2,FALSE),0)</f>
        <v>4</v>
      </c>
      <c r="E69" s="63">
        <f t="shared" si="9"/>
        <v>6</v>
      </c>
      <c r="G69" s="6" t="s">
        <v>3</v>
      </c>
      <c r="H69" s="1">
        <v>0</v>
      </c>
    </row>
    <row r="72" spans="2:8" ht="23.5" x14ac:dyDescent="0.55000000000000004">
      <c r="B72" s="15" t="s">
        <v>81</v>
      </c>
    </row>
    <row r="74" spans="2:8" x14ac:dyDescent="0.35">
      <c r="B74" s="61">
        <v>4</v>
      </c>
      <c r="C74" t="s">
        <v>88</v>
      </c>
    </row>
    <row r="76" spans="2:8" ht="45" customHeight="1" x14ac:dyDescent="0.35">
      <c r="C76" s="107" t="s">
        <v>164</v>
      </c>
      <c r="D76" s="108"/>
      <c r="E76" s="109"/>
    </row>
    <row r="77" spans="2:8" x14ac:dyDescent="0.35">
      <c r="B77" s="20"/>
      <c r="C77" s="6" t="s">
        <v>63</v>
      </c>
      <c r="D77" s="6" t="s">
        <v>64</v>
      </c>
      <c r="E77" s="6" t="s">
        <v>65</v>
      </c>
    </row>
    <row r="78" spans="2:8" x14ac:dyDescent="0.35">
      <c r="B78" s="32"/>
      <c r="C78" s="64">
        <v>25000</v>
      </c>
      <c r="D78" s="64">
        <v>15000</v>
      </c>
      <c r="E78" s="64">
        <v>20000</v>
      </c>
      <c r="F78" t="s">
        <v>89</v>
      </c>
    </row>
    <row r="79" spans="2:8" x14ac:dyDescent="0.35">
      <c r="B79" s="32"/>
      <c r="C79" s="53">
        <f>ROUND((C78/MAX($C78:$E78))*$B74,1)</f>
        <v>4</v>
      </c>
      <c r="D79" s="53">
        <f>ROUND((D78/MAX($C78:$E78))*$B74,1)</f>
        <v>2.4</v>
      </c>
      <c r="E79" s="53">
        <f>ROUND((E78/MAX($C78:$E78))*$B74,1)</f>
        <v>3.2</v>
      </c>
      <c r="F79" t="s">
        <v>99</v>
      </c>
    </row>
    <row r="82" spans="2:7" ht="23.5" x14ac:dyDescent="0.55000000000000004">
      <c r="B82" s="15" t="s">
        <v>100</v>
      </c>
    </row>
    <row r="85" spans="2:7" x14ac:dyDescent="0.35">
      <c r="C85" s="6" t="s">
        <v>63</v>
      </c>
      <c r="D85" s="6" t="s">
        <v>64</v>
      </c>
      <c r="E85" s="6" t="s">
        <v>65</v>
      </c>
    </row>
    <row r="86" spans="2:7" x14ac:dyDescent="0.35">
      <c r="C86" s="1">
        <f>C26</f>
        <v>8.8000000000000007</v>
      </c>
      <c r="D86" s="1">
        <f>D26</f>
        <v>10</v>
      </c>
      <c r="E86" s="1">
        <f>E26</f>
        <v>8.1999999999999993</v>
      </c>
      <c r="F86" t="s">
        <v>72</v>
      </c>
    </row>
    <row r="87" spans="2:7" x14ac:dyDescent="0.35">
      <c r="C87" s="1">
        <f>C54</f>
        <v>10</v>
      </c>
      <c r="D87" s="1">
        <f t="shared" ref="D87:E87" si="10">D54</f>
        <v>2</v>
      </c>
      <c r="E87" s="1">
        <f t="shared" si="10"/>
        <v>0</v>
      </c>
      <c r="F87" t="s">
        <v>79</v>
      </c>
    </row>
    <row r="88" spans="2:7" x14ac:dyDescent="0.35">
      <c r="C88" s="1">
        <f>C69</f>
        <v>0</v>
      </c>
      <c r="D88" s="1">
        <f t="shared" ref="D88:E88" si="11">D69</f>
        <v>4</v>
      </c>
      <c r="E88" s="1">
        <f t="shared" si="11"/>
        <v>6</v>
      </c>
      <c r="F88" t="s">
        <v>80</v>
      </c>
    </row>
    <row r="89" spans="2:7" x14ac:dyDescent="0.35">
      <c r="C89" s="1">
        <f>C79</f>
        <v>4</v>
      </c>
      <c r="D89" s="1">
        <f t="shared" ref="D89:E89" si="12">D79</f>
        <v>2.4</v>
      </c>
      <c r="E89" s="1">
        <f t="shared" si="12"/>
        <v>3.2</v>
      </c>
      <c r="F89" t="s">
        <v>81</v>
      </c>
    </row>
    <row r="90" spans="2:7" x14ac:dyDescent="0.35">
      <c r="C90" s="23">
        <f>SUM(C86:C89)</f>
        <v>22.8</v>
      </c>
      <c r="D90" s="23">
        <f t="shared" ref="D90:E90" si="13">SUM(D86:D89)</f>
        <v>18.399999999999999</v>
      </c>
      <c r="E90" s="23">
        <f t="shared" si="13"/>
        <v>17.399999999999999</v>
      </c>
      <c r="F90" t="s">
        <v>102</v>
      </c>
    </row>
    <row r="91" spans="2:7" x14ac:dyDescent="0.35">
      <c r="C91" s="65">
        <f>C44</f>
        <v>51.1</v>
      </c>
      <c r="D91" s="65">
        <f t="shared" ref="D91:E91" si="14">D44</f>
        <v>70</v>
      </c>
      <c r="E91" s="65">
        <f t="shared" si="14"/>
        <v>20.100000000000001</v>
      </c>
      <c r="F91" t="s">
        <v>101</v>
      </c>
    </row>
    <row r="92" spans="2:7" x14ac:dyDescent="0.35">
      <c r="C92" s="2">
        <f>IF(C10=1,SUM(C90:C91),0)</f>
        <v>73.900000000000006</v>
      </c>
      <c r="D92" s="2">
        <f t="shared" ref="D92:E92" si="15">IF(D10=1,SUM(D90:D91),0)</f>
        <v>88.4</v>
      </c>
      <c r="E92" s="2">
        <f t="shared" si="15"/>
        <v>37.5</v>
      </c>
      <c r="F92" t="s">
        <v>111</v>
      </c>
    </row>
    <row r="93" spans="2:7" x14ac:dyDescent="0.35">
      <c r="C93" s="2">
        <f>IF(C10=1,_xlfn.RANK.EQ(C92,$C92:$E92,0),0)</f>
        <v>2</v>
      </c>
      <c r="D93" s="2">
        <f t="shared" ref="D93:E93" si="16">IF(D10=1,_xlfn.RANK.EQ(D92,$C92:$E92,0),0)</f>
        <v>1</v>
      </c>
      <c r="E93" s="2">
        <f t="shared" si="16"/>
        <v>3</v>
      </c>
      <c r="F93" t="s">
        <v>52</v>
      </c>
    </row>
    <row r="95" spans="2:7" x14ac:dyDescent="0.35">
      <c r="E95" s="66"/>
      <c r="F95" s="3">
        <v>8000000</v>
      </c>
      <c r="G95" t="s">
        <v>103</v>
      </c>
    </row>
    <row r="96" spans="2:7" x14ac:dyDescent="0.35">
      <c r="C96" s="3">
        <f>IF(C93=1,C$41,0)</f>
        <v>0</v>
      </c>
      <c r="D96" s="3">
        <f t="shared" ref="D96:E96" si="17">IF(D93=1,D$41,0)</f>
        <v>1000000</v>
      </c>
      <c r="E96" s="3">
        <f t="shared" si="17"/>
        <v>0</v>
      </c>
      <c r="F96" s="4">
        <f>SUM(C96:E96)</f>
        <v>1000000</v>
      </c>
      <c r="G96" t="s">
        <v>104</v>
      </c>
    </row>
    <row r="97" spans="3:7" x14ac:dyDescent="0.35">
      <c r="F97" s="4">
        <f>F95-F96</f>
        <v>7000000</v>
      </c>
      <c r="G97" t="s">
        <v>106</v>
      </c>
    </row>
    <row r="98" spans="3:7" x14ac:dyDescent="0.35">
      <c r="C98" s="3">
        <f>IF(AND(C$93=2,$F97&gt;0),C$41,0)</f>
        <v>2125000</v>
      </c>
      <c r="D98" s="3">
        <f>IF(AND(D$93=2,$F97&gt;0),D$41,0)</f>
        <v>0</v>
      </c>
      <c r="E98" s="3">
        <f>IF(AND(E$93=2,$F97&gt;0),E$41,0)</f>
        <v>0</v>
      </c>
      <c r="F98" s="4">
        <f>SUM(C98:E98)</f>
        <v>2125000</v>
      </c>
      <c r="G98" t="s">
        <v>105</v>
      </c>
    </row>
    <row r="99" spans="3:7" x14ac:dyDescent="0.35">
      <c r="F99" s="4">
        <f>F97-F98</f>
        <v>4875000</v>
      </c>
      <c r="G99" t="s">
        <v>107</v>
      </c>
    </row>
    <row r="100" spans="3:7" x14ac:dyDescent="0.35">
      <c r="C100" s="3">
        <f>IF(AND(C$93=3,$F99&gt;0),C$41,0)</f>
        <v>0</v>
      </c>
      <c r="D100" s="3">
        <f>IF(AND(D$93=3,$F99&gt;0),D$41,0)</f>
        <v>0</v>
      </c>
      <c r="E100" s="3">
        <f>IF(AND(E$93=3,$F99&gt;0),E$41,0)</f>
        <v>3000000</v>
      </c>
      <c r="F100" s="4">
        <f>SUM(C100:E100)</f>
        <v>3000000</v>
      </c>
      <c r="G100" t="s">
        <v>108</v>
      </c>
    </row>
    <row r="101" spans="3:7" x14ac:dyDescent="0.35">
      <c r="F101" s="4">
        <f>F99-F100</f>
        <v>1875000</v>
      </c>
      <c r="G101" t="s">
        <v>109</v>
      </c>
    </row>
  </sheetData>
  <mergeCells count="1">
    <mergeCell ref="C76:E76"/>
  </mergeCells>
  <conditionalFormatting sqref="C10:E10">
    <cfRule type="cellIs" dxfId="11" priority="5" operator="notEqual">
      <formula>1</formula>
    </cfRule>
    <cfRule type="cellIs" dxfId="10" priority="6" operator="equal">
      <formula>1</formula>
    </cfRule>
  </conditionalFormatting>
  <conditionalFormatting sqref="C62:E62">
    <cfRule type="cellIs" dxfId="9" priority="3" operator="notEqual">
      <formula>1</formula>
    </cfRule>
    <cfRule type="cellIs" dxfId="8" priority="4" operator="equal">
      <formula>1</formula>
    </cfRule>
  </conditionalFormatting>
  <conditionalFormatting sqref="C34:E34">
    <cfRule type="cellIs" dxfId="7" priority="1" operator="notEqual">
      <formula>1</formula>
    </cfRule>
    <cfRule type="cellIs" dxfId="6" priority="2" operator="equal">
      <formula>1</formula>
    </cfRule>
  </conditionalFormatting>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24D3B-1517-49D5-BFF1-F3A1E54AF873}">
  <dimension ref="B2:S114"/>
  <sheetViews>
    <sheetView topLeftCell="A11" workbookViewId="0">
      <selection activeCell="O106" sqref="O106"/>
    </sheetView>
  </sheetViews>
  <sheetFormatPr defaultRowHeight="14.5" x14ac:dyDescent="0.35"/>
  <cols>
    <col min="3" max="3" width="15.54296875" bestFit="1" customWidth="1"/>
    <col min="4" max="6" width="13.90625" bestFit="1" customWidth="1"/>
    <col min="12" max="12" width="12.36328125" bestFit="1" customWidth="1"/>
    <col min="13" max="13" width="13.90625" bestFit="1" customWidth="1"/>
    <col min="15" max="15" width="12.36328125" bestFit="1" customWidth="1"/>
    <col min="16" max="16" width="13.90625" bestFit="1" customWidth="1"/>
  </cols>
  <sheetData>
    <row r="2" spans="2:19" ht="18.5" x14ac:dyDescent="0.45">
      <c r="B2" s="10" t="s">
        <v>166</v>
      </c>
    </row>
    <row r="3" spans="2:19" ht="18.5" x14ac:dyDescent="0.45">
      <c r="B3" s="10" t="s">
        <v>167</v>
      </c>
    </row>
    <row r="5" spans="2:19" ht="31" x14ac:dyDescent="0.7">
      <c r="B5" s="15" t="s">
        <v>11</v>
      </c>
      <c r="I5" s="70"/>
      <c r="J5" s="70"/>
      <c r="K5" s="70"/>
      <c r="L5" s="70"/>
      <c r="M5" s="70"/>
      <c r="N5" s="70"/>
      <c r="O5" s="70"/>
      <c r="P5" s="70"/>
      <c r="Q5" s="70"/>
      <c r="R5" s="70"/>
      <c r="S5" s="71"/>
    </row>
    <row r="7" spans="2:19" x14ac:dyDescent="0.35">
      <c r="C7" s="6" t="s">
        <v>63</v>
      </c>
      <c r="D7" s="6" t="s">
        <v>64</v>
      </c>
      <c r="E7" s="6" t="s">
        <v>65</v>
      </c>
    </row>
    <row r="8" spans="2:19" ht="15.5" x14ac:dyDescent="0.35">
      <c r="C8" s="51" t="s">
        <v>114</v>
      </c>
      <c r="D8" s="51" t="s">
        <v>114</v>
      </c>
      <c r="E8" s="51" t="s">
        <v>114</v>
      </c>
      <c r="F8" s="7" t="s">
        <v>112</v>
      </c>
    </row>
    <row r="9" spans="2:19" ht="15.5" x14ac:dyDescent="0.35">
      <c r="C9" s="51" t="s">
        <v>114</v>
      </c>
      <c r="D9" s="51" t="s">
        <v>114</v>
      </c>
      <c r="E9" s="51" t="s">
        <v>114</v>
      </c>
      <c r="F9" s="7" t="s">
        <v>113</v>
      </c>
    </row>
    <row r="10" spans="2:19" x14ac:dyDescent="0.35">
      <c r="C10" s="21">
        <f>IF(AND(C8="Y",C9="Y"),1,0)</f>
        <v>1</v>
      </c>
      <c r="D10" s="21">
        <f t="shared" ref="D10:E10" si="0">IF(AND(D8="Y",D9="Y"),1,0)</f>
        <v>1</v>
      </c>
      <c r="E10" s="21">
        <f t="shared" si="0"/>
        <v>1</v>
      </c>
    </row>
    <row r="13" spans="2:19" ht="23.5" x14ac:dyDescent="0.55000000000000004">
      <c r="B13" s="15" t="s">
        <v>72</v>
      </c>
    </row>
    <row r="15" spans="2:19" x14ac:dyDescent="0.35">
      <c r="B15" s="61">
        <v>10</v>
      </c>
      <c r="C15" t="s">
        <v>88</v>
      </c>
    </row>
    <row r="17" spans="2:6" x14ac:dyDescent="0.35">
      <c r="C17" s="24"/>
      <c r="D17" s="25" t="s">
        <v>73</v>
      </c>
      <c r="E17" s="26"/>
    </row>
    <row r="18" spans="2:6" x14ac:dyDescent="0.35">
      <c r="B18" s="20"/>
      <c r="C18" s="6" t="s">
        <v>63</v>
      </c>
      <c r="D18" s="6" t="s">
        <v>64</v>
      </c>
      <c r="E18" s="6" t="s">
        <v>65</v>
      </c>
    </row>
    <row r="19" spans="2:6" x14ac:dyDescent="0.35">
      <c r="B19" s="20"/>
      <c r="C19" s="51">
        <v>0</v>
      </c>
      <c r="D19" s="51">
        <v>0</v>
      </c>
      <c r="E19" s="51">
        <v>120000</v>
      </c>
    </row>
    <row r="20" spans="2:6" x14ac:dyDescent="0.35">
      <c r="B20" s="20"/>
      <c r="C20" s="51">
        <v>0</v>
      </c>
      <c r="D20" s="51">
        <v>200000</v>
      </c>
      <c r="E20" s="51">
        <v>150000</v>
      </c>
    </row>
    <row r="21" spans="2:6" x14ac:dyDescent="0.35">
      <c r="B21" s="20"/>
      <c r="C21" s="51">
        <v>0</v>
      </c>
      <c r="D21" s="51">
        <v>200000</v>
      </c>
      <c r="E21" s="51">
        <v>0</v>
      </c>
    </row>
    <row r="22" spans="2:6" x14ac:dyDescent="0.35">
      <c r="B22" s="20"/>
      <c r="C22" s="51">
        <v>90000</v>
      </c>
      <c r="D22" s="51">
        <v>0</v>
      </c>
      <c r="E22" s="51">
        <v>0</v>
      </c>
    </row>
    <row r="23" spans="2:6" x14ac:dyDescent="0.35">
      <c r="B23" s="20"/>
      <c r="C23" s="51">
        <v>40000</v>
      </c>
      <c r="D23" s="51">
        <v>0</v>
      </c>
      <c r="E23" s="51">
        <v>40000</v>
      </c>
    </row>
    <row r="24" spans="2:6" x14ac:dyDescent="0.35">
      <c r="B24" s="20"/>
      <c r="C24" s="51">
        <v>400000</v>
      </c>
      <c r="D24" s="51">
        <v>200000</v>
      </c>
      <c r="E24" s="51">
        <v>180000</v>
      </c>
    </row>
    <row r="25" spans="2:6" x14ac:dyDescent="0.35">
      <c r="B25" s="32"/>
      <c r="C25" s="21">
        <f>SUM(C19:C24)</f>
        <v>530000</v>
      </c>
      <c r="D25" s="21">
        <f>SUM(D19:D24)</f>
        <v>600000</v>
      </c>
      <c r="E25" s="21">
        <f>SUM(E19:E24)</f>
        <v>490000</v>
      </c>
      <c r="F25" t="s">
        <v>89</v>
      </c>
    </row>
    <row r="26" spans="2:6" x14ac:dyDescent="0.35">
      <c r="B26" s="32"/>
      <c r="C26" s="53">
        <f>ROUND((C25/MAX($C25:$E25))*$B15,1)</f>
        <v>8.8000000000000007</v>
      </c>
      <c r="D26" s="53">
        <f t="shared" ref="D26:E26" si="1">ROUND((D25/MAX($C25:$E25))*$B15,1)</f>
        <v>10</v>
      </c>
      <c r="E26" s="53">
        <f t="shared" si="1"/>
        <v>8.1999999999999993</v>
      </c>
      <c r="F26" t="s">
        <v>90</v>
      </c>
    </row>
    <row r="29" spans="2:6" ht="23.5" x14ac:dyDescent="0.55000000000000004">
      <c r="B29" s="15" t="s">
        <v>26</v>
      </c>
    </row>
    <row r="31" spans="2:6" x14ac:dyDescent="0.35">
      <c r="C31" s="24"/>
      <c r="D31" s="35" t="s">
        <v>11</v>
      </c>
      <c r="E31" s="26"/>
    </row>
    <row r="32" spans="2:6" x14ac:dyDescent="0.35">
      <c r="C32" s="6" t="s">
        <v>63</v>
      </c>
      <c r="D32" s="6" t="s">
        <v>64</v>
      </c>
      <c r="E32" s="6" t="s">
        <v>65</v>
      </c>
    </row>
    <row r="33" spans="2:9" x14ac:dyDescent="0.35">
      <c r="C33" s="51" t="s">
        <v>114</v>
      </c>
      <c r="D33" s="51" t="s">
        <v>114</v>
      </c>
      <c r="E33" s="51" t="s">
        <v>114</v>
      </c>
      <c r="F33" s="9" t="s">
        <v>115</v>
      </c>
    </row>
    <row r="34" spans="2:9" x14ac:dyDescent="0.35">
      <c r="C34" s="21">
        <f>IF(C33="Y",1,0)</f>
        <v>1</v>
      </c>
      <c r="D34" s="21">
        <f t="shared" ref="D34:E34" si="2">IF(D33="Y",1,0)</f>
        <v>1</v>
      </c>
      <c r="E34" s="21">
        <f t="shared" si="2"/>
        <v>1</v>
      </c>
    </row>
    <row r="36" spans="2:9" x14ac:dyDescent="0.35">
      <c r="B36" s="61">
        <v>70</v>
      </c>
      <c r="C36" t="s">
        <v>88</v>
      </c>
    </row>
    <row r="38" spans="2:9" x14ac:dyDescent="0.35">
      <c r="C38" s="6" t="s">
        <v>63</v>
      </c>
      <c r="D38" s="6" t="s">
        <v>64</v>
      </c>
      <c r="E38" s="6" t="s">
        <v>65</v>
      </c>
    </row>
    <row r="39" spans="2:9" x14ac:dyDescent="0.35">
      <c r="C39" s="58">
        <v>2000000</v>
      </c>
      <c r="D39" s="58">
        <v>6300000</v>
      </c>
      <c r="E39" s="58">
        <v>3000000</v>
      </c>
      <c r="F39" t="s">
        <v>134</v>
      </c>
      <c r="I39" s="54"/>
    </row>
    <row r="40" spans="2:9" x14ac:dyDescent="0.35">
      <c r="C40" s="58">
        <v>125000</v>
      </c>
      <c r="D40" s="58">
        <v>0</v>
      </c>
      <c r="E40" s="58">
        <v>0</v>
      </c>
      <c r="F40" t="s">
        <v>92</v>
      </c>
      <c r="I40" s="54"/>
    </row>
    <row r="41" spans="2:9" x14ac:dyDescent="0.35">
      <c r="C41" s="58">
        <f>C39+C40</f>
        <v>2125000</v>
      </c>
      <c r="D41" s="58">
        <f t="shared" ref="D41:E41" si="3">D39+D40</f>
        <v>6300000</v>
      </c>
      <c r="E41" s="58">
        <f t="shared" si="3"/>
        <v>3000000</v>
      </c>
      <c r="F41" t="s">
        <v>93</v>
      </c>
      <c r="I41" s="54"/>
    </row>
    <row r="42" spans="2:9" x14ac:dyDescent="0.35">
      <c r="B42" s="5" t="s">
        <v>78</v>
      </c>
      <c r="C42" s="59">
        <v>450000</v>
      </c>
      <c r="D42" s="59">
        <v>290000</v>
      </c>
      <c r="E42" s="59">
        <v>250000</v>
      </c>
      <c r="F42" s="54" t="s">
        <v>67</v>
      </c>
    </row>
    <row r="43" spans="2:9" x14ac:dyDescent="0.35">
      <c r="B43" s="62">
        <f>MIN(C43:E43)</f>
        <v>4.7222222222222223</v>
      </c>
      <c r="C43" s="31">
        <f>IF(C34=1,C41/C42,"N")</f>
        <v>4.7222222222222223</v>
      </c>
      <c r="D43" s="31">
        <f t="shared" ref="D43:E43" si="4">IF(D34=1,D41/D42,"N")</f>
        <v>21.724137931034484</v>
      </c>
      <c r="E43" s="31">
        <f t="shared" si="4"/>
        <v>12</v>
      </c>
      <c r="F43" s="54" t="s">
        <v>95</v>
      </c>
    </row>
    <row r="44" spans="2:9" x14ac:dyDescent="0.35">
      <c r="C44" s="60">
        <f>IF(C43="N",0,ROUND(IF(C43=$B43,$B36,$B43/C43*$B36),1))</f>
        <v>70</v>
      </c>
      <c r="D44" s="60">
        <f t="shared" ref="D44:E44" si="5">IF(D43="N",0,ROUND(IF(D43=$B43,$B36,$B43/D43*$B36),1))</f>
        <v>15.2</v>
      </c>
      <c r="E44" s="60">
        <f t="shared" si="5"/>
        <v>27.5</v>
      </c>
      <c r="F44" t="s">
        <v>94</v>
      </c>
      <c r="I44" s="54"/>
    </row>
    <row r="47" spans="2:9" ht="23.5" x14ac:dyDescent="0.55000000000000004">
      <c r="B47" s="15" t="s">
        <v>79</v>
      </c>
    </row>
    <row r="50" spans="2:8" x14ac:dyDescent="0.35">
      <c r="B50" s="61">
        <v>10</v>
      </c>
      <c r="C50" t="s">
        <v>88</v>
      </c>
      <c r="G50" s="1" t="s">
        <v>96</v>
      </c>
      <c r="H50" s="1" t="s">
        <v>73</v>
      </c>
    </row>
    <row r="51" spans="2:8" x14ac:dyDescent="0.35">
      <c r="G51" s="6" t="s">
        <v>1</v>
      </c>
      <c r="H51" s="1">
        <v>10</v>
      </c>
    </row>
    <row r="52" spans="2:8" x14ac:dyDescent="0.35">
      <c r="C52" s="6" t="s">
        <v>63</v>
      </c>
      <c r="D52" s="6" t="s">
        <v>64</v>
      </c>
      <c r="E52" s="6" t="s">
        <v>65</v>
      </c>
      <c r="G52" s="21" t="s">
        <v>2</v>
      </c>
      <c r="H52" s="1">
        <v>6</v>
      </c>
    </row>
    <row r="53" spans="2:8" x14ac:dyDescent="0.35">
      <c r="C53" s="51" t="s">
        <v>1</v>
      </c>
      <c r="D53" s="51" t="s">
        <v>3</v>
      </c>
      <c r="E53" s="51" t="s">
        <v>4</v>
      </c>
      <c r="G53" s="6" t="s">
        <v>3</v>
      </c>
      <c r="H53" s="1">
        <v>2</v>
      </c>
    </row>
    <row r="54" spans="2:8" x14ac:dyDescent="0.35">
      <c r="C54" s="63">
        <f>VLOOKUP(C53,$G$51:$H$54,2,FALSE)</f>
        <v>10</v>
      </c>
      <c r="D54" s="63">
        <f t="shared" ref="D54:E54" si="6">VLOOKUP(D53,$G$51:$H$54,2,FALSE)</f>
        <v>2</v>
      </c>
      <c r="E54" s="63">
        <f t="shared" si="6"/>
        <v>0</v>
      </c>
      <c r="G54" s="6" t="s">
        <v>4</v>
      </c>
      <c r="H54" s="1">
        <v>0</v>
      </c>
    </row>
    <row r="57" spans="2:8" ht="23.5" x14ac:dyDescent="0.55000000000000004">
      <c r="B57" s="15" t="s">
        <v>80</v>
      </c>
    </row>
    <row r="59" spans="2:8" x14ac:dyDescent="0.35">
      <c r="C59" s="24"/>
      <c r="D59" s="35" t="s">
        <v>11</v>
      </c>
      <c r="E59" s="26"/>
    </row>
    <row r="60" spans="2:8" x14ac:dyDescent="0.35">
      <c r="C60" s="6" t="s">
        <v>63</v>
      </c>
      <c r="D60" s="6" t="s">
        <v>64</v>
      </c>
      <c r="E60" s="6" t="s">
        <v>65</v>
      </c>
    </row>
    <row r="61" spans="2:8" x14ac:dyDescent="0.35">
      <c r="C61" s="51" t="s">
        <v>114</v>
      </c>
      <c r="D61" s="51" t="s">
        <v>114</v>
      </c>
      <c r="E61" s="51" t="s">
        <v>114</v>
      </c>
      <c r="F61" s="67" t="s">
        <v>122</v>
      </c>
    </row>
    <row r="62" spans="2:8" x14ac:dyDescent="0.35">
      <c r="C62" s="21">
        <f>IF(C61="Y",1,0)</f>
        <v>1</v>
      </c>
      <c r="D62" s="21">
        <f t="shared" ref="D62:E62" si="7">IF(D61="Y",1,0)</f>
        <v>1</v>
      </c>
      <c r="E62" s="21">
        <f t="shared" si="7"/>
        <v>1</v>
      </c>
    </row>
    <row r="65" spans="2:8" x14ac:dyDescent="0.35">
      <c r="B65" s="61">
        <v>6</v>
      </c>
      <c r="C65" t="s">
        <v>88</v>
      </c>
    </row>
    <row r="66" spans="2:8" x14ac:dyDescent="0.35">
      <c r="G66" s="1" t="s">
        <v>96</v>
      </c>
      <c r="H66" s="1" t="s">
        <v>73</v>
      </c>
    </row>
    <row r="67" spans="2:8" x14ac:dyDescent="0.35">
      <c r="C67" s="6" t="s">
        <v>63</v>
      </c>
      <c r="D67" s="6" t="s">
        <v>64</v>
      </c>
      <c r="E67" s="6" t="s">
        <v>65</v>
      </c>
      <c r="G67" s="6" t="s">
        <v>1</v>
      </c>
      <c r="H67" s="1">
        <v>6</v>
      </c>
    </row>
    <row r="68" spans="2:8" x14ac:dyDescent="0.35">
      <c r="C68" s="51" t="s">
        <v>3</v>
      </c>
      <c r="D68" s="51" t="s">
        <v>2</v>
      </c>
      <c r="E68" s="51" t="s">
        <v>1</v>
      </c>
      <c r="G68" s="21" t="s">
        <v>2</v>
      </c>
      <c r="H68" s="1">
        <v>4</v>
      </c>
    </row>
    <row r="69" spans="2:8" x14ac:dyDescent="0.35">
      <c r="C69" s="63">
        <f>IF(C62=1,VLOOKUP(C68,$G$67:$H$69,2,FALSE),0)</f>
        <v>0</v>
      </c>
      <c r="D69" s="63">
        <f t="shared" ref="D69:E69" si="8">IF(D62=1,VLOOKUP(D68,$G$67:$H$69,2,FALSE),0)</f>
        <v>4</v>
      </c>
      <c r="E69" s="63">
        <f t="shared" si="8"/>
        <v>6</v>
      </c>
      <c r="G69" s="6" t="s">
        <v>3</v>
      </c>
      <c r="H69" s="1">
        <v>0</v>
      </c>
    </row>
    <row r="72" spans="2:8" ht="23.5" x14ac:dyDescent="0.55000000000000004">
      <c r="B72" s="15" t="s">
        <v>81</v>
      </c>
    </row>
    <row r="74" spans="2:8" x14ac:dyDescent="0.35">
      <c r="B74" s="61">
        <v>4</v>
      </c>
      <c r="C74" t="s">
        <v>88</v>
      </c>
    </row>
    <row r="76" spans="2:8" ht="46.75" customHeight="1" x14ac:dyDescent="0.35">
      <c r="C76" s="107" t="s">
        <v>164</v>
      </c>
      <c r="D76" s="108"/>
      <c r="E76" s="109"/>
    </row>
    <row r="77" spans="2:8" x14ac:dyDescent="0.35">
      <c r="B77" s="20"/>
      <c r="C77" s="6" t="s">
        <v>63</v>
      </c>
      <c r="D77" s="6" t="s">
        <v>64</v>
      </c>
      <c r="E77" s="6" t="s">
        <v>65</v>
      </c>
    </row>
    <row r="78" spans="2:8" x14ac:dyDescent="0.35">
      <c r="B78" s="32"/>
      <c r="C78" s="64">
        <v>25000</v>
      </c>
      <c r="D78" s="64">
        <v>15000</v>
      </c>
      <c r="E78" s="64">
        <v>20000</v>
      </c>
      <c r="F78" t="s">
        <v>89</v>
      </c>
    </row>
    <row r="79" spans="2:8" x14ac:dyDescent="0.35">
      <c r="B79" s="32"/>
      <c r="C79" s="53">
        <f>ROUND((C78/MAX($C78:$E78))*$B74,1)</f>
        <v>4</v>
      </c>
      <c r="D79" s="53">
        <f>ROUND((D78/MAX($C78:$E78))*$B74,1)</f>
        <v>2.4</v>
      </c>
      <c r="E79" s="53">
        <f>ROUND((E78/MAX($C78:$E78))*$B74,1)</f>
        <v>3.2</v>
      </c>
      <c r="F79" t="s">
        <v>99</v>
      </c>
    </row>
    <row r="82" spans="2:7" ht="23.5" x14ac:dyDescent="0.55000000000000004">
      <c r="B82" s="15" t="s">
        <v>100</v>
      </c>
    </row>
    <row r="85" spans="2:7" x14ac:dyDescent="0.35">
      <c r="C85" s="6" t="s">
        <v>63</v>
      </c>
      <c r="D85" s="6" t="s">
        <v>64</v>
      </c>
      <c r="E85" s="6" t="s">
        <v>65</v>
      </c>
    </row>
    <row r="86" spans="2:7" x14ac:dyDescent="0.35">
      <c r="C86" s="1">
        <f>C26</f>
        <v>8.8000000000000007</v>
      </c>
      <c r="D86" s="1">
        <f>D26</f>
        <v>10</v>
      </c>
      <c r="E86" s="1">
        <f>E26</f>
        <v>8.1999999999999993</v>
      </c>
      <c r="F86" t="s">
        <v>72</v>
      </c>
    </row>
    <row r="87" spans="2:7" x14ac:dyDescent="0.35">
      <c r="C87" s="1">
        <f>C54</f>
        <v>10</v>
      </c>
      <c r="D87" s="1">
        <f t="shared" ref="D87:E87" si="9">D54</f>
        <v>2</v>
      </c>
      <c r="E87" s="1">
        <f t="shared" si="9"/>
        <v>0</v>
      </c>
      <c r="F87" t="s">
        <v>79</v>
      </c>
    </row>
    <row r="88" spans="2:7" x14ac:dyDescent="0.35">
      <c r="C88" s="1">
        <f>C69</f>
        <v>0</v>
      </c>
      <c r="D88" s="1">
        <f t="shared" ref="D88:E88" si="10">D69</f>
        <v>4</v>
      </c>
      <c r="E88" s="1">
        <f t="shared" si="10"/>
        <v>6</v>
      </c>
      <c r="F88" t="s">
        <v>80</v>
      </c>
    </row>
    <row r="89" spans="2:7" x14ac:dyDescent="0.35">
      <c r="C89" s="1">
        <f>C79</f>
        <v>4</v>
      </c>
      <c r="D89" s="1">
        <f t="shared" ref="D89:E89" si="11">D79</f>
        <v>2.4</v>
      </c>
      <c r="E89" s="1">
        <f t="shared" si="11"/>
        <v>3.2</v>
      </c>
      <c r="F89" t="s">
        <v>81</v>
      </c>
    </row>
    <row r="90" spans="2:7" x14ac:dyDescent="0.35">
      <c r="C90" s="23">
        <f>SUM(C86:C89)</f>
        <v>22.8</v>
      </c>
      <c r="D90" s="23">
        <f t="shared" ref="D90:E90" si="12">SUM(D86:D89)</f>
        <v>18.399999999999999</v>
      </c>
      <c r="E90" s="23">
        <f t="shared" si="12"/>
        <v>17.399999999999999</v>
      </c>
      <c r="F90" t="s">
        <v>102</v>
      </c>
    </row>
    <row r="91" spans="2:7" x14ac:dyDescent="0.35">
      <c r="C91" s="65">
        <f>C44</f>
        <v>70</v>
      </c>
      <c r="D91" s="65">
        <f t="shared" ref="D91:E91" si="13">D44</f>
        <v>15.2</v>
      </c>
      <c r="E91" s="65">
        <f t="shared" si="13"/>
        <v>27.5</v>
      </c>
      <c r="F91" t="s">
        <v>101</v>
      </c>
    </row>
    <row r="92" spans="2:7" x14ac:dyDescent="0.35">
      <c r="C92" s="2">
        <f>IF(C10=1,SUM(C90:C91),0)</f>
        <v>92.8</v>
      </c>
      <c r="D92" s="2">
        <f t="shared" ref="D92:E92" si="14">IF(D10=1,SUM(D90:D91),0)</f>
        <v>33.599999999999994</v>
      </c>
      <c r="E92" s="2">
        <f t="shared" si="14"/>
        <v>44.9</v>
      </c>
      <c r="F92" t="s">
        <v>111</v>
      </c>
    </row>
    <row r="93" spans="2:7" x14ac:dyDescent="0.35">
      <c r="C93" s="2">
        <f>IF(C10=1,_xlfn.RANK.EQ(C92,$C92:$E92,0),0)</f>
        <v>1</v>
      </c>
      <c r="D93" s="2">
        <f t="shared" ref="D93:E93" si="15">IF(D10=1,_xlfn.RANK.EQ(D92,$C92:$E92,0),0)</f>
        <v>3</v>
      </c>
      <c r="E93" s="2">
        <f t="shared" si="15"/>
        <v>2</v>
      </c>
      <c r="F93" t="s">
        <v>52</v>
      </c>
    </row>
    <row r="95" spans="2:7" x14ac:dyDescent="0.35">
      <c r="E95" s="66"/>
      <c r="F95" s="3">
        <v>8000000</v>
      </c>
      <c r="G95" t="s">
        <v>103</v>
      </c>
    </row>
    <row r="96" spans="2:7" x14ac:dyDescent="0.35">
      <c r="C96" s="3">
        <f>IF(C93=1,C$41,0)</f>
        <v>2125000</v>
      </c>
      <c r="D96" s="3">
        <f t="shared" ref="D96:E96" si="16">IF(D93=1,D$41,0)</f>
        <v>0</v>
      </c>
      <c r="E96" s="3">
        <f t="shared" si="16"/>
        <v>0</v>
      </c>
      <c r="F96" s="4">
        <f>SUM(C96:E96)</f>
        <v>2125000</v>
      </c>
      <c r="G96" t="s">
        <v>104</v>
      </c>
    </row>
    <row r="97" spans="3:16" x14ac:dyDescent="0.35">
      <c r="F97" s="4">
        <f>F95-F96</f>
        <v>5875000</v>
      </c>
      <c r="G97" t="s">
        <v>106</v>
      </c>
    </row>
    <row r="98" spans="3:16" x14ac:dyDescent="0.35">
      <c r="C98" s="3">
        <f>IF(AND(C$93=2,$F97&gt;0),C$41,0)</f>
        <v>0</v>
      </c>
      <c r="D98" s="3">
        <f>IF(AND(D$93=2,$F97&gt;0),D$41,0)</f>
        <v>0</v>
      </c>
      <c r="E98" s="3">
        <f>IF(AND(E$93=2,$F97&gt;0),E$41,0)</f>
        <v>3000000</v>
      </c>
      <c r="F98" s="4">
        <f>SUM(C98:E98)</f>
        <v>3000000</v>
      </c>
      <c r="G98" t="s">
        <v>105</v>
      </c>
    </row>
    <row r="99" spans="3:16" x14ac:dyDescent="0.35">
      <c r="F99" s="4">
        <f>F97-F98</f>
        <v>2875000</v>
      </c>
      <c r="G99" t="s">
        <v>107</v>
      </c>
    </row>
    <row r="100" spans="3:16" x14ac:dyDescent="0.35">
      <c r="C100" s="3">
        <f>IF(AND(C$93=3,$F99&gt;0),C$41,0)</f>
        <v>0</v>
      </c>
      <c r="D100" s="3">
        <f>IF(AND(D$93=3,$F99&gt;0),D$41,0)</f>
        <v>6300000</v>
      </c>
      <c r="E100" s="3">
        <f>IF(AND(E$93=3,$F99&gt;0),E$41,0)</f>
        <v>0</v>
      </c>
      <c r="F100" s="85">
        <f>SUM(C100:E100)</f>
        <v>6300000</v>
      </c>
      <c r="G100" t="s">
        <v>170</v>
      </c>
    </row>
    <row r="101" spans="3:16" x14ac:dyDescent="0.35">
      <c r="F101" s="85">
        <f>F95-F96-F98</f>
        <v>2875000</v>
      </c>
      <c r="G101" t="s">
        <v>168</v>
      </c>
    </row>
    <row r="104" spans="3:16" x14ac:dyDescent="0.35">
      <c r="C104" s="8" t="s">
        <v>150</v>
      </c>
    </row>
    <row r="105" spans="3:16" ht="145" x14ac:dyDescent="0.35">
      <c r="C105" s="11" t="s">
        <v>17</v>
      </c>
      <c r="D105" s="11" t="s">
        <v>16</v>
      </c>
      <c r="E105" s="11" t="s">
        <v>141</v>
      </c>
      <c r="F105" s="11" t="s">
        <v>140</v>
      </c>
      <c r="G105" s="11" t="s">
        <v>135</v>
      </c>
      <c r="H105" s="12" t="s">
        <v>142</v>
      </c>
      <c r="I105" s="12" t="s">
        <v>143</v>
      </c>
      <c r="J105" s="47" t="s">
        <v>144</v>
      </c>
      <c r="K105" s="11" t="s">
        <v>145</v>
      </c>
      <c r="L105" s="11" t="s">
        <v>13</v>
      </c>
      <c r="M105" s="11" t="s">
        <v>15</v>
      </c>
      <c r="N105" s="11" t="s">
        <v>151</v>
      </c>
      <c r="O105" s="73" t="s">
        <v>152</v>
      </c>
    </row>
    <row r="106" spans="3:16" x14ac:dyDescent="0.35">
      <c r="C106" s="75" t="s">
        <v>136</v>
      </c>
      <c r="D106" s="76" t="s">
        <v>138</v>
      </c>
      <c r="E106" s="75">
        <v>40</v>
      </c>
      <c r="F106" s="75">
        <v>25</v>
      </c>
      <c r="G106" s="75">
        <v>20</v>
      </c>
      <c r="H106" s="13">
        <f>G106*253</f>
        <v>5060</v>
      </c>
      <c r="I106" s="13">
        <f>F106*H106</f>
        <v>126500</v>
      </c>
      <c r="J106" s="77">
        <v>4</v>
      </c>
      <c r="K106" s="78">
        <v>4</v>
      </c>
      <c r="L106" s="79">
        <v>450000</v>
      </c>
      <c r="M106" s="14">
        <f>K106*L106</f>
        <v>1800000</v>
      </c>
      <c r="N106" s="3">
        <f>M106/I106</f>
        <v>14.229249011857707</v>
      </c>
      <c r="O106" s="81">
        <f>RANK(N106,N$106:N$107,1)</f>
        <v>1</v>
      </c>
      <c r="P106" t="s">
        <v>181</v>
      </c>
    </row>
    <row r="107" spans="3:16" x14ac:dyDescent="0.35">
      <c r="C107" s="75" t="s">
        <v>137</v>
      </c>
      <c r="D107" s="76" t="s">
        <v>139</v>
      </c>
      <c r="E107" s="75">
        <v>30</v>
      </c>
      <c r="F107" s="75">
        <v>30</v>
      </c>
      <c r="G107" s="75">
        <v>22</v>
      </c>
      <c r="H107" s="13">
        <f t="shared" ref="H107" si="17">G107*253</f>
        <v>5566</v>
      </c>
      <c r="I107" s="13">
        <f t="shared" ref="I107" si="18">F107*H107</f>
        <v>166980</v>
      </c>
      <c r="J107" s="77">
        <v>10</v>
      </c>
      <c r="K107" s="78">
        <v>10</v>
      </c>
      <c r="L107" s="79">
        <v>450000</v>
      </c>
      <c r="M107" s="14">
        <f t="shared" ref="M107" si="19">K107*L107</f>
        <v>4500000</v>
      </c>
      <c r="N107" s="3">
        <f>M107/I107</f>
        <v>26.949335249730506</v>
      </c>
      <c r="O107" s="81">
        <f>RANK(N107,N$106:N$107,1)</f>
        <v>2</v>
      </c>
      <c r="P107" t="s">
        <v>155</v>
      </c>
    </row>
    <row r="108" spans="3:16" x14ac:dyDescent="0.35">
      <c r="I108" s="80">
        <f>SUM(I106:I107)</f>
        <v>293480</v>
      </c>
      <c r="L108" s="23" t="s">
        <v>147</v>
      </c>
      <c r="M108" s="4">
        <f>SUM(M106:M107)</f>
        <v>6300000</v>
      </c>
    </row>
    <row r="109" spans="3:16" x14ac:dyDescent="0.35">
      <c r="C109" s="74" t="s">
        <v>146</v>
      </c>
    </row>
    <row r="110" spans="3:16" x14ac:dyDescent="0.35">
      <c r="C110" s="74" t="s">
        <v>153</v>
      </c>
    </row>
    <row r="111" spans="3:16" x14ac:dyDescent="0.35">
      <c r="C111" s="74" t="s">
        <v>154</v>
      </c>
    </row>
    <row r="112" spans="3:16" x14ac:dyDescent="0.35">
      <c r="C112" t="s">
        <v>169</v>
      </c>
    </row>
    <row r="113" spans="3:13" x14ac:dyDescent="0.35">
      <c r="C113" s="88" t="s">
        <v>183</v>
      </c>
      <c r="D113" s="88"/>
      <c r="E113" s="88"/>
      <c r="F113" s="88"/>
      <c r="G113" s="88"/>
      <c r="H113" s="88"/>
      <c r="I113" s="88"/>
      <c r="J113" s="88"/>
      <c r="K113" s="88"/>
      <c r="L113" s="88"/>
      <c r="M113" s="88"/>
    </row>
    <row r="114" spans="3:13" x14ac:dyDescent="0.35">
      <c r="C114" s="88" t="s">
        <v>184</v>
      </c>
      <c r="D114" s="88"/>
      <c r="E114" s="88"/>
      <c r="F114" s="88"/>
      <c r="G114" s="88"/>
      <c r="H114" s="88"/>
      <c r="I114" s="88"/>
      <c r="J114" s="88"/>
      <c r="K114" s="88"/>
      <c r="L114" s="88"/>
      <c r="M114" s="88"/>
    </row>
  </sheetData>
  <mergeCells count="1">
    <mergeCell ref="C76:E76"/>
  </mergeCells>
  <conditionalFormatting sqref="C10:E10">
    <cfRule type="cellIs" dxfId="5" priority="5" operator="notEqual">
      <formula>1</formula>
    </cfRule>
    <cfRule type="cellIs" dxfId="4" priority="6" operator="equal">
      <formula>1</formula>
    </cfRule>
  </conditionalFormatting>
  <conditionalFormatting sqref="C62:E62">
    <cfRule type="cellIs" dxfId="3" priority="3" operator="notEqual">
      <formula>1</formula>
    </cfRule>
    <cfRule type="cellIs" dxfId="2" priority="4" operator="equal">
      <formula>1</formula>
    </cfRule>
  </conditionalFormatting>
  <conditionalFormatting sqref="C34:E34">
    <cfRule type="cellIs" dxfId="1" priority="1" operator="notEqual">
      <formula>1</formula>
    </cfRule>
    <cfRule type="cellIs" dxfId="0" priority="2" operator="equal">
      <formula>1</formula>
    </cfRule>
  </conditionalFormatting>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4924C-E411-400A-A475-BC99BA3B81B0}">
  <dimension ref="B2:P20"/>
  <sheetViews>
    <sheetView workbookViewId="0">
      <selection activeCell="I19" sqref="I19"/>
    </sheetView>
  </sheetViews>
  <sheetFormatPr defaultRowHeight="14.5" x14ac:dyDescent="0.35"/>
  <cols>
    <col min="2" max="2" width="18.1796875" customWidth="1"/>
    <col min="3" max="3" width="12.08984375" customWidth="1"/>
    <col min="6" max="6" width="15.54296875" customWidth="1"/>
    <col min="7" max="7" width="14.81640625" customWidth="1"/>
    <col min="12" max="12" width="12.36328125" bestFit="1" customWidth="1"/>
    <col min="13" max="13" width="13.90625" bestFit="1" customWidth="1"/>
  </cols>
  <sheetData>
    <row r="2" spans="2:16" ht="18.5" x14ac:dyDescent="0.45">
      <c r="B2" s="10" t="s">
        <v>166</v>
      </c>
    </row>
    <row r="3" spans="2:16" ht="18.5" x14ac:dyDescent="0.45">
      <c r="B3" s="10" t="s">
        <v>185</v>
      </c>
    </row>
    <row r="6" spans="2:16" x14ac:dyDescent="0.35">
      <c r="B6" s="8" t="s">
        <v>180</v>
      </c>
    </row>
    <row r="7" spans="2:16" ht="145" x14ac:dyDescent="0.35">
      <c r="B7" s="11" t="s">
        <v>0</v>
      </c>
      <c r="C7" s="11" t="s">
        <v>17</v>
      </c>
      <c r="D7" s="11" t="s">
        <v>16</v>
      </c>
      <c r="E7" s="11" t="s">
        <v>141</v>
      </c>
      <c r="F7" s="11" t="s">
        <v>140</v>
      </c>
      <c r="G7" s="11" t="s">
        <v>135</v>
      </c>
      <c r="H7" s="12" t="s">
        <v>142</v>
      </c>
      <c r="I7" s="12" t="s">
        <v>143</v>
      </c>
      <c r="J7" s="47" t="s">
        <v>144</v>
      </c>
      <c r="K7" s="11" t="s">
        <v>145</v>
      </c>
      <c r="L7" s="11" t="s">
        <v>13</v>
      </c>
      <c r="M7" s="11" t="s">
        <v>15</v>
      </c>
      <c r="N7" s="11" t="s">
        <v>151</v>
      </c>
      <c r="O7" s="73" t="s">
        <v>152</v>
      </c>
    </row>
    <row r="8" spans="2:16" x14ac:dyDescent="0.35">
      <c r="B8" s="75" t="s">
        <v>171</v>
      </c>
      <c r="C8" s="75" t="s">
        <v>136</v>
      </c>
      <c r="D8" s="76" t="s">
        <v>138</v>
      </c>
      <c r="E8" s="75">
        <v>40</v>
      </c>
      <c r="F8" s="75">
        <v>25</v>
      </c>
      <c r="G8" s="75">
        <v>20</v>
      </c>
      <c r="H8" s="13">
        <f>G8*253</f>
        <v>5060</v>
      </c>
      <c r="I8" s="13">
        <f>F8*H8</f>
        <v>126500</v>
      </c>
      <c r="J8" s="77">
        <v>4</v>
      </c>
      <c r="K8" s="78">
        <v>4</v>
      </c>
      <c r="L8" s="79">
        <v>450000</v>
      </c>
      <c r="M8" s="14">
        <f>K8*L8</f>
        <v>1800000</v>
      </c>
      <c r="N8" s="3">
        <f>M8/I8</f>
        <v>14.229249011857707</v>
      </c>
      <c r="O8" s="81">
        <f>RANK(N8,N$8:N$10,1)</f>
        <v>1</v>
      </c>
      <c r="P8" t="s">
        <v>181</v>
      </c>
    </row>
    <row r="9" spans="2:16" x14ac:dyDescent="0.35">
      <c r="B9" s="75" t="s">
        <v>171</v>
      </c>
      <c r="C9" s="75" t="s">
        <v>137</v>
      </c>
      <c r="D9" s="76" t="s">
        <v>139</v>
      </c>
      <c r="E9" s="75">
        <v>30</v>
      </c>
      <c r="F9" s="75">
        <v>30</v>
      </c>
      <c r="G9" s="75">
        <v>22</v>
      </c>
      <c r="H9" s="13">
        <f t="shared" ref="H9" si="0">G9*253</f>
        <v>5566</v>
      </c>
      <c r="I9" s="13">
        <f t="shared" ref="I9" si="1">F9*H9</f>
        <v>166980</v>
      </c>
      <c r="J9" s="77">
        <v>10</v>
      </c>
      <c r="K9" s="78">
        <v>10</v>
      </c>
      <c r="L9" s="79">
        <v>450000</v>
      </c>
      <c r="M9" s="14">
        <f t="shared" ref="M9" si="2">K9*L9</f>
        <v>4500000</v>
      </c>
      <c r="N9" s="3">
        <f>M9/I9</f>
        <v>26.949335249730506</v>
      </c>
      <c r="O9" s="81">
        <f t="shared" ref="O9:O10" si="3">RANK(N9,N$8:N$10,1)</f>
        <v>3</v>
      </c>
      <c r="P9" t="s">
        <v>155</v>
      </c>
    </row>
    <row r="10" spans="2:16" x14ac:dyDescent="0.35">
      <c r="B10" s="75" t="s">
        <v>172</v>
      </c>
      <c r="C10" s="75" t="s">
        <v>175</v>
      </c>
      <c r="D10" s="76" t="s">
        <v>173</v>
      </c>
      <c r="E10" s="75">
        <v>10</v>
      </c>
      <c r="F10" s="75">
        <v>10</v>
      </c>
      <c r="G10" s="75">
        <v>20</v>
      </c>
      <c r="H10" s="13">
        <f t="shared" ref="H10" si="4">G10*253</f>
        <v>5060</v>
      </c>
      <c r="I10" s="13">
        <f t="shared" ref="I10" si="5">F10*H10</f>
        <v>50600</v>
      </c>
      <c r="J10" s="77">
        <v>2</v>
      </c>
      <c r="K10" s="78">
        <v>2</v>
      </c>
      <c r="L10" s="79">
        <v>450000</v>
      </c>
      <c r="M10" s="14">
        <f t="shared" ref="M10" si="6">K10*L10</f>
        <v>900000</v>
      </c>
      <c r="N10" s="3">
        <f>M10/I10</f>
        <v>17.786561264822133</v>
      </c>
      <c r="O10" s="81">
        <f t="shared" si="3"/>
        <v>2</v>
      </c>
      <c r="P10" t="s">
        <v>181</v>
      </c>
    </row>
    <row r="11" spans="2:16" x14ac:dyDescent="0.35">
      <c r="I11" s="80">
        <f>SUM(I8:I10)</f>
        <v>344080</v>
      </c>
      <c r="L11" s="23" t="s">
        <v>174</v>
      </c>
      <c r="M11" s="4">
        <f>SUM(M8:M10)</f>
        <v>7200000</v>
      </c>
    </row>
    <row r="12" spans="2:16" x14ac:dyDescent="0.35">
      <c r="I12" s="86"/>
      <c r="L12" s="88"/>
      <c r="M12" s="87"/>
    </row>
    <row r="13" spans="2:16" x14ac:dyDescent="0.35">
      <c r="I13" s="86"/>
      <c r="L13" s="89" t="s">
        <v>176</v>
      </c>
      <c r="M13" s="4">
        <v>3000000</v>
      </c>
    </row>
    <row r="14" spans="2:16" x14ac:dyDescent="0.35">
      <c r="I14" s="86"/>
      <c r="L14" s="88"/>
      <c r="M14" s="87"/>
    </row>
    <row r="15" spans="2:16" x14ac:dyDescent="0.35">
      <c r="B15" s="74" t="s">
        <v>177</v>
      </c>
      <c r="F15" s="1" t="s">
        <v>182</v>
      </c>
      <c r="I15" s="86"/>
      <c r="L15" s="88"/>
      <c r="M15" s="87"/>
    </row>
    <row r="16" spans="2:16" x14ac:dyDescent="0.35">
      <c r="B16" s="24" t="s">
        <v>178</v>
      </c>
      <c r="C16" s="25"/>
      <c r="D16" s="25"/>
      <c r="E16" s="25"/>
      <c r="F16" s="3">
        <v>1800000</v>
      </c>
      <c r="I16" s="86"/>
      <c r="L16" s="88"/>
      <c r="M16" s="87"/>
    </row>
    <row r="17" spans="2:13" x14ac:dyDescent="0.35">
      <c r="B17" s="24" t="s">
        <v>179</v>
      </c>
      <c r="C17" s="25"/>
      <c r="D17" s="25"/>
      <c r="E17" s="25"/>
      <c r="F17" s="3">
        <v>900000</v>
      </c>
      <c r="I17" s="86"/>
      <c r="L17" s="88"/>
      <c r="M17" s="87"/>
    </row>
    <row r="18" spans="2:13" x14ac:dyDescent="0.35">
      <c r="B18" s="90" t="s">
        <v>186</v>
      </c>
      <c r="C18" s="91"/>
      <c r="D18" s="91"/>
      <c r="E18" s="91"/>
      <c r="F18" s="4">
        <f>M13-SUM(F16:F17)</f>
        <v>300000</v>
      </c>
    </row>
    <row r="19" spans="2:13" x14ac:dyDescent="0.35">
      <c r="B19" s="24"/>
      <c r="C19" s="92"/>
      <c r="D19" s="25"/>
      <c r="E19" s="26" t="s">
        <v>147</v>
      </c>
      <c r="F19" s="4">
        <f>SUM(F16:F18)</f>
        <v>3000000</v>
      </c>
    </row>
    <row r="20" spans="2:13" x14ac:dyDescent="0.35">
      <c r="C20" s="74"/>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E51BFB8C627743826F3FCA8536040D" ma:contentTypeVersion="1" ma:contentTypeDescription="Create a new document." ma:contentTypeScope="" ma:versionID="7aafa119ea359033b588f53100372620">
  <xsd:schema xmlns:xsd="http://www.w3.org/2001/XMLSchema" xmlns:xs="http://www.w3.org/2001/XMLSchema" xmlns:p="http://schemas.microsoft.com/office/2006/metadata/properties" xmlns:ns1="http://schemas.microsoft.com/sharepoint/v3" targetNamespace="http://schemas.microsoft.com/office/2006/metadata/properties" ma:root="true" ma:fieldsID="f66abc2e75104a1e2665fbc11a6ee9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B489F1C-A985-4153-A069-6B23D3DC2D3C}"/>
</file>

<file path=customXml/itemProps2.xml><?xml version="1.0" encoding="utf-8"?>
<ds:datastoreItem xmlns:ds="http://schemas.openxmlformats.org/officeDocument/2006/customXml" ds:itemID="{8949A2F7-4F13-4F2F-A69F-FC9E6D4BFF78}"/>
</file>

<file path=customXml/itemProps3.xml><?xml version="1.0" encoding="utf-8"?>
<ds:datastoreItem xmlns:ds="http://schemas.openxmlformats.org/officeDocument/2006/customXml" ds:itemID="{5476DB85-3EC8-474E-986D-62F7D4CA56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Proforma</vt:lpstr>
      <vt:lpstr>Example1</vt:lpstr>
      <vt:lpstr>Example2</vt:lpstr>
      <vt:lpstr>Example3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Dixon, Jason</dc:creator>
  <cp:lastModifiedBy>Harron, Rhian</cp:lastModifiedBy>
  <dcterms:created xsi:type="dcterms:W3CDTF">2022-06-10T11:09:11Z</dcterms:created>
  <dcterms:modified xsi:type="dcterms:W3CDTF">2023-01-25T14:45:58Z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0x01010076E51BFB8C627743826F3FCA8536040D</vt:lpwstr>
  </property>
</Properties>
</file>